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20" windowHeight="12090" firstSheet="1" activeTab="8"/>
  </bookViews>
  <sheets>
    <sheet name="(01.01.2016" sheetId="5" r:id="rId1"/>
    <sheet name="Базовая МП)" sheetId="1" r:id="rId2"/>
    <sheet name="(01.03.2016" sheetId="6" r:id="rId3"/>
    <sheet name="Февраль)" sheetId="2" r:id="rId4"/>
    <sheet name="(01.05.2016" sheetId="7" r:id="rId5"/>
    <sheet name="Апрель)" sheetId="8" r:id="rId6"/>
    <sheet name="(01.07.2016" sheetId="9" r:id="rId7"/>
    <sheet name="Июль)" sheetId="10" r:id="rId8"/>
    <sheet name="Июль (01.07.)" sheetId="11" r:id="rId9"/>
  </sheets>
  <definedNames>
    <definedName name="_xlnm._FilterDatabase" localSheetId="2" hidden="1">'(01.03.2016'!$A$3:$L$73</definedName>
    <definedName name="_xlnm._FilterDatabase" localSheetId="4" hidden="1">'(01.05.2016'!$A$3:$L$83</definedName>
    <definedName name="_xlnm._FilterDatabase" localSheetId="6" hidden="1">'(01.07.2016'!$B$6:$IS$101</definedName>
    <definedName name="_xlnm.Print_Titles" localSheetId="5">'Апрель)'!$5:$8</definedName>
    <definedName name="_xlnm.Print_Titles" localSheetId="1">'Базовая МП)'!$5:$8</definedName>
    <definedName name="_xlnm.Print_Titles" localSheetId="8">'Июль (01.07.)'!$11:$14</definedName>
    <definedName name="_xlnm.Print_Titles" localSheetId="3">'Февраль)'!$5:$8</definedName>
    <definedName name="_xlnm.Print_Area" localSheetId="6">'(01.07.2016'!$A$1:$Q$121</definedName>
    <definedName name="_xlnm.Print_Area" localSheetId="5">'Апрель)'!$A$1:$M$138</definedName>
    <definedName name="_xlnm.Print_Area" localSheetId="1">'Базовая МП)'!$A$1:$M$142</definedName>
    <definedName name="_xlnm.Print_Area" localSheetId="8">'Июль (01.07.)'!$A$3:$M$388</definedName>
    <definedName name="_xlnm.Print_Area" localSheetId="3">'Февраль)'!$A$1:$M$138</definedName>
  </definedNames>
  <calcPr calcId="152511" fullCalcOnLoad="1"/>
</workbook>
</file>

<file path=xl/calcChain.xml><?xml version="1.0" encoding="utf-8"?>
<calcChain xmlns="http://schemas.openxmlformats.org/spreadsheetml/2006/main">
  <c r="H187" i="11" l="1"/>
  <c r="H185" i="11" s="1"/>
  <c r="H181" i="11"/>
  <c r="H179" i="11"/>
  <c r="F58" i="11"/>
  <c r="H61" i="11"/>
  <c r="H60" i="11"/>
  <c r="G61" i="11"/>
  <c r="G60" i="11"/>
  <c r="F61" i="11"/>
  <c r="F60" i="11"/>
  <c r="H58" i="11"/>
  <c r="H57" i="11"/>
  <c r="G58" i="11"/>
  <c r="G57" i="11"/>
  <c r="H55" i="11"/>
  <c r="H54" i="11"/>
  <c r="G55" i="11"/>
  <c r="G54" i="11"/>
  <c r="F55" i="11"/>
  <c r="H265" i="11"/>
  <c r="H268" i="11" s="1"/>
  <c r="H266" i="11" s="1"/>
  <c r="H337" i="11"/>
  <c r="F80" i="9"/>
  <c r="I50" i="9"/>
  <c r="G50" i="9" s="1"/>
  <c r="L50" i="9" s="1"/>
  <c r="F190" i="11"/>
  <c r="G157" i="11"/>
  <c r="G148" i="11" s="1"/>
  <c r="G139" i="11" s="1"/>
  <c r="G223" i="11"/>
  <c r="G214" i="11"/>
  <c r="F223" i="11"/>
  <c r="F214" i="11"/>
  <c r="H222" i="11"/>
  <c r="H213" i="11"/>
  <c r="G222" i="11"/>
  <c r="G213" i="11"/>
  <c r="F222" i="11"/>
  <c r="F221" i="11"/>
  <c r="F220" i="11"/>
  <c r="F211" i="11"/>
  <c r="H219" i="11"/>
  <c r="H210" i="11"/>
  <c r="F219" i="11"/>
  <c r="E376" i="11"/>
  <c r="E375" i="11"/>
  <c r="H374" i="11"/>
  <c r="G374" i="11"/>
  <c r="F374" i="11"/>
  <c r="G373" i="11"/>
  <c r="E373" i="11"/>
  <c r="E372" i="11"/>
  <c r="H371" i="11"/>
  <c r="F371" i="11"/>
  <c r="H367" i="11"/>
  <c r="G365" i="11"/>
  <c r="E366" i="11"/>
  <c r="F365" i="11"/>
  <c r="G364" i="11"/>
  <c r="G362" i="11" s="1"/>
  <c r="E362" i="11" s="1"/>
  <c r="E363" i="11"/>
  <c r="F362" i="11"/>
  <c r="E358" i="11"/>
  <c r="E357" i="11"/>
  <c r="H356" i="11"/>
  <c r="G356" i="11"/>
  <c r="F356" i="11"/>
  <c r="G355" i="11"/>
  <c r="E355" i="11" s="1"/>
  <c r="E354" i="11"/>
  <c r="H353" i="11"/>
  <c r="F353" i="11"/>
  <c r="E349" i="11"/>
  <c r="E348" i="11"/>
  <c r="H347" i="11"/>
  <c r="G347" i="11"/>
  <c r="F347" i="11"/>
  <c r="E346" i="11"/>
  <c r="E345" i="11"/>
  <c r="H344" i="11"/>
  <c r="G344" i="11"/>
  <c r="F344" i="11"/>
  <c r="G338" i="11"/>
  <c r="E339" i="11"/>
  <c r="F338" i="11"/>
  <c r="H340" i="11"/>
  <c r="G337" i="11"/>
  <c r="G335" i="11"/>
  <c r="E336" i="11"/>
  <c r="F335" i="11"/>
  <c r="H331" i="11"/>
  <c r="E331" i="11"/>
  <c r="E330" i="11"/>
  <c r="G329" i="11"/>
  <c r="F329" i="11"/>
  <c r="G328" i="11"/>
  <c r="E328" i="11" s="1"/>
  <c r="E327" i="11"/>
  <c r="H326" i="11"/>
  <c r="G326" i="11"/>
  <c r="F326" i="11"/>
  <c r="H322" i="11"/>
  <c r="H320" i="11" s="1"/>
  <c r="E320" i="11" s="1"/>
  <c r="E321" i="11"/>
  <c r="G320" i="11"/>
  <c r="F320" i="11"/>
  <c r="E319" i="11"/>
  <c r="E318" i="11"/>
  <c r="H317" i="11"/>
  <c r="G317" i="11"/>
  <c r="F317" i="11"/>
  <c r="E317" i="11" s="1"/>
  <c r="E313" i="11"/>
  <c r="E312" i="11"/>
  <c r="H311" i="11"/>
  <c r="G311" i="11"/>
  <c r="F311" i="11"/>
  <c r="E310" i="11"/>
  <c r="E309" i="11"/>
  <c r="H308" i="11"/>
  <c r="G308" i="11"/>
  <c r="F308" i="11"/>
  <c r="E303" i="11"/>
  <c r="G302" i="11"/>
  <c r="F302" i="11"/>
  <c r="H301" i="11"/>
  <c r="E301" i="11"/>
  <c r="G301" i="11"/>
  <c r="G299" i="11"/>
  <c r="E300" i="11"/>
  <c r="F299" i="11"/>
  <c r="E295" i="11"/>
  <c r="E294" i="11"/>
  <c r="H293" i="11"/>
  <c r="G293" i="11"/>
  <c r="F293" i="11"/>
  <c r="E292" i="11"/>
  <c r="E291" i="11"/>
  <c r="H290" i="11"/>
  <c r="G290" i="11"/>
  <c r="F290" i="11"/>
  <c r="H286" i="11"/>
  <c r="H284" i="11"/>
  <c r="E285" i="11"/>
  <c r="G284" i="11"/>
  <c r="F284" i="11"/>
  <c r="E283" i="11"/>
  <c r="E282" i="11"/>
  <c r="H281" i="11"/>
  <c r="G281" i="11"/>
  <c r="F281" i="11"/>
  <c r="E277" i="11"/>
  <c r="E276" i="11"/>
  <c r="H275" i="11"/>
  <c r="G275" i="11"/>
  <c r="F275" i="11"/>
  <c r="E274" i="11"/>
  <c r="E273" i="11"/>
  <c r="H272" i="11"/>
  <c r="G272" i="11"/>
  <c r="F272" i="11"/>
  <c r="E267" i="11"/>
  <c r="F266" i="11"/>
  <c r="G265" i="11"/>
  <c r="E265" i="11"/>
  <c r="G264" i="11"/>
  <c r="E264" i="11"/>
  <c r="F263" i="11"/>
  <c r="E259" i="11"/>
  <c r="E258" i="11"/>
  <c r="H257" i="11"/>
  <c r="G257" i="11"/>
  <c r="F257" i="11"/>
  <c r="G256" i="11"/>
  <c r="E256" i="11" s="1"/>
  <c r="E255" i="11"/>
  <c r="H254" i="11"/>
  <c r="F254" i="11"/>
  <c r="H250" i="11"/>
  <c r="E250" i="11"/>
  <c r="H239" i="11"/>
  <c r="E249" i="11"/>
  <c r="G248" i="11"/>
  <c r="F248" i="11"/>
  <c r="E247" i="11"/>
  <c r="E246" i="11"/>
  <c r="H245" i="11"/>
  <c r="G245" i="11"/>
  <c r="F245" i="11"/>
  <c r="G239" i="11"/>
  <c r="E240" i="11"/>
  <c r="F239" i="11"/>
  <c r="G238" i="11"/>
  <c r="E238" i="11"/>
  <c r="G237" i="11"/>
  <c r="G219" i="11"/>
  <c r="H236" i="11"/>
  <c r="F236" i="11"/>
  <c r="H232" i="11"/>
  <c r="H230" i="11"/>
  <c r="E231" i="11"/>
  <c r="G230" i="11"/>
  <c r="F230" i="11"/>
  <c r="G229" i="11"/>
  <c r="G227" i="11" s="1"/>
  <c r="E227" i="11" s="1"/>
  <c r="E228" i="11"/>
  <c r="H227" i="11"/>
  <c r="F227" i="11"/>
  <c r="H196" i="11"/>
  <c r="G196" i="11"/>
  <c r="H195" i="11"/>
  <c r="H150" i="11" s="1"/>
  <c r="G195" i="11"/>
  <c r="G193" i="11"/>
  <c r="H192" i="11"/>
  <c r="G192" i="11"/>
  <c r="F193" i="11"/>
  <c r="F192" i="11"/>
  <c r="H189" i="11"/>
  <c r="G190" i="11"/>
  <c r="G189" i="11"/>
  <c r="F189" i="11"/>
  <c r="F188" i="11" s="1"/>
  <c r="E205" i="11"/>
  <c r="E204" i="11"/>
  <c r="H203" i="11"/>
  <c r="G203" i="11"/>
  <c r="E202" i="11"/>
  <c r="E201" i="11"/>
  <c r="H200" i="11"/>
  <c r="G200" i="11"/>
  <c r="F200" i="11"/>
  <c r="H197" i="11"/>
  <c r="G197" i="11"/>
  <c r="F197" i="11"/>
  <c r="H182" i="11"/>
  <c r="H176" i="11"/>
  <c r="H173" i="11"/>
  <c r="H170" i="11"/>
  <c r="H167" i="11"/>
  <c r="H164" i="11"/>
  <c r="H161" i="11"/>
  <c r="E186" i="11"/>
  <c r="G185" i="11"/>
  <c r="E185" i="11" s="1"/>
  <c r="F185" i="11"/>
  <c r="E184" i="11"/>
  <c r="E183" i="11"/>
  <c r="G182" i="11"/>
  <c r="F182" i="11"/>
  <c r="E178" i="11"/>
  <c r="E177" i="11"/>
  <c r="G176" i="11"/>
  <c r="F176" i="11"/>
  <c r="E175" i="11"/>
  <c r="E174" i="11"/>
  <c r="G173" i="11"/>
  <c r="F173" i="11"/>
  <c r="E169" i="11"/>
  <c r="E168" i="11"/>
  <c r="G167" i="11"/>
  <c r="F167" i="11"/>
  <c r="E166" i="11"/>
  <c r="E165" i="11"/>
  <c r="G164" i="11"/>
  <c r="F164" i="11"/>
  <c r="G160" i="11"/>
  <c r="F160" i="11"/>
  <c r="F151" i="11"/>
  <c r="H159" i="11"/>
  <c r="G159" i="11"/>
  <c r="F159" i="11"/>
  <c r="H157" i="11"/>
  <c r="F157" i="11"/>
  <c r="H156" i="11"/>
  <c r="G156" i="11"/>
  <c r="F156" i="11"/>
  <c r="H153" i="11"/>
  <c r="G154" i="11"/>
  <c r="G153" i="11"/>
  <c r="G144" i="11" s="1"/>
  <c r="F154" i="11"/>
  <c r="F145" i="11" s="1"/>
  <c r="E133" i="11"/>
  <c r="E132" i="11"/>
  <c r="H131" i="11"/>
  <c r="G131" i="11"/>
  <c r="F131" i="11"/>
  <c r="E130" i="11"/>
  <c r="E129" i="11"/>
  <c r="H128" i="11"/>
  <c r="G128" i="11"/>
  <c r="F128" i="11"/>
  <c r="H124" i="11"/>
  <c r="G124" i="11"/>
  <c r="F124" i="11"/>
  <c r="H123" i="11"/>
  <c r="G123" i="11"/>
  <c r="F123" i="11"/>
  <c r="H121" i="11"/>
  <c r="G121" i="11"/>
  <c r="F121" i="11"/>
  <c r="H120" i="11"/>
  <c r="G120" i="11"/>
  <c r="F120" i="11"/>
  <c r="H113" i="11"/>
  <c r="E114" i="11"/>
  <c r="G113" i="11"/>
  <c r="F113" i="11"/>
  <c r="H112" i="11"/>
  <c r="H110" i="11" s="1"/>
  <c r="E111" i="11"/>
  <c r="G110" i="11"/>
  <c r="F110" i="11"/>
  <c r="G106" i="11"/>
  <c r="F106" i="11"/>
  <c r="H105" i="11"/>
  <c r="G105" i="11"/>
  <c r="F105" i="11"/>
  <c r="G103" i="11"/>
  <c r="F103" i="11"/>
  <c r="H102" i="11"/>
  <c r="G102" i="11"/>
  <c r="F102" i="11"/>
  <c r="E97" i="11"/>
  <c r="E96" i="11"/>
  <c r="H95" i="11"/>
  <c r="G95" i="11"/>
  <c r="F95" i="11"/>
  <c r="E94" i="11"/>
  <c r="E93" i="11"/>
  <c r="H92" i="11"/>
  <c r="G92" i="11"/>
  <c r="F92" i="11"/>
  <c r="H89" i="11"/>
  <c r="H80" i="11"/>
  <c r="H83" i="11"/>
  <c r="H86" i="11"/>
  <c r="E88" i="11"/>
  <c r="F86" i="11"/>
  <c r="G86" i="11"/>
  <c r="E85" i="11"/>
  <c r="F84" i="11"/>
  <c r="F83" i="11" s="1"/>
  <c r="F57" i="11"/>
  <c r="G83" i="11"/>
  <c r="E79" i="11"/>
  <c r="E78" i="11"/>
  <c r="H77" i="11"/>
  <c r="G77" i="11"/>
  <c r="F77" i="11"/>
  <c r="E76" i="11"/>
  <c r="E75" i="11"/>
  <c r="H74" i="11"/>
  <c r="G74" i="11"/>
  <c r="F74" i="11"/>
  <c r="H71" i="11"/>
  <c r="H65" i="11"/>
  <c r="H62" i="11"/>
  <c r="H68" i="11"/>
  <c r="E70" i="11"/>
  <c r="E69" i="11"/>
  <c r="G68" i="11"/>
  <c r="F68" i="11"/>
  <c r="E67" i="11"/>
  <c r="E66" i="11"/>
  <c r="G65" i="11"/>
  <c r="F65" i="11"/>
  <c r="H34" i="11"/>
  <c r="G34" i="11"/>
  <c r="F34" i="11"/>
  <c r="H33" i="11"/>
  <c r="G33" i="11"/>
  <c r="F33" i="11"/>
  <c r="F31" i="11"/>
  <c r="H30" i="11"/>
  <c r="G30" i="11"/>
  <c r="F30" i="11"/>
  <c r="H31" i="11"/>
  <c r="G49" i="11"/>
  <c r="G31" i="11" s="1"/>
  <c r="E48" i="11"/>
  <c r="F47" i="11"/>
  <c r="E40" i="11"/>
  <c r="E39" i="11"/>
  <c r="H38" i="11"/>
  <c r="G38" i="11"/>
  <c r="F38" i="11"/>
  <c r="E52" i="11"/>
  <c r="E51" i="11"/>
  <c r="H50" i="11"/>
  <c r="G50" i="11"/>
  <c r="F50" i="11"/>
  <c r="E43" i="11"/>
  <c r="E42" i="11"/>
  <c r="H41" i="11"/>
  <c r="G41" i="11"/>
  <c r="F41" i="11"/>
  <c r="F81" i="11"/>
  <c r="E81" i="11"/>
  <c r="E91" i="11"/>
  <c r="E90" i="11"/>
  <c r="G89" i="11"/>
  <c r="F89" i="11"/>
  <c r="E82" i="11"/>
  <c r="G80" i="11"/>
  <c r="E64" i="11"/>
  <c r="E63" i="11"/>
  <c r="G62" i="11"/>
  <c r="F62" i="11"/>
  <c r="G100" i="11"/>
  <c r="F100" i="11"/>
  <c r="H99" i="11"/>
  <c r="G99" i="11"/>
  <c r="F99" i="11"/>
  <c r="H109" i="11"/>
  <c r="H100" i="11" s="1"/>
  <c r="H118" i="11"/>
  <c r="G118" i="11"/>
  <c r="H117" i="11"/>
  <c r="G117" i="11"/>
  <c r="F118" i="11"/>
  <c r="F117" i="11"/>
  <c r="H125" i="11"/>
  <c r="E127" i="11"/>
  <c r="E126" i="11"/>
  <c r="G125" i="11"/>
  <c r="F125" i="11"/>
  <c r="E108" i="11"/>
  <c r="F107" i="11"/>
  <c r="F27" i="11"/>
  <c r="H35" i="11"/>
  <c r="H129" i="8"/>
  <c r="I92" i="9"/>
  <c r="G92" i="9"/>
  <c r="F92" i="9"/>
  <c r="L92" i="9" s="1"/>
  <c r="K82" i="7"/>
  <c r="H76" i="7"/>
  <c r="F76" i="7" s="1"/>
  <c r="K76" i="7" s="1"/>
  <c r="H129" i="2"/>
  <c r="K72" i="6"/>
  <c r="H66" i="6"/>
  <c r="F66" i="6"/>
  <c r="K66" i="6" s="1"/>
  <c r="N332" i="11"/>
  <c r="N359" i="11"/>
  <c r="G370" i="11"/>
  <c r="E370" i="11" s="1"/>
  <c r="E369" i="11"/>
  <c r="H368" i="11"/>
  <c r="G368" i="11"/>
  <c r="F368" i="11"/>
  <c r="G361" i="11"/>
  <c r="G359" i="11" s="1"/>
  <c r="E360" i="11"/>
  <c r="F359" i="11"/>
  <c r="G352" i="11"/>
  <c r="E352" i="11" s="1"/>
  <c r="E351" i="11"/>
  <c r="H350" i="11"/>
  <c r="N350" i="11"/>
  <c r="F350" i="11"/>
  <c r="E343" i="11"/>
  <c r="E342" i="11"/>
  <c r="H341" i="11"/>
  <c r="N341" i="11" s="1"/>
  <c r="G341" i="11"/>
  <c r="F341" i="11"/>
  <c r="H334" i="11"/>
  <c r="G334" i="11"/>
  <c r="E333" i="11"/>
  <c r="F332" i="11"/>
  <c r="H325" i="11"/>
  <c r="H323" i="11" s="1"/>
  <c r="G325" i="11"/>
  <c r="G323" i="11" s="1"/>
  <c r="E324" i="11"/>
  <c r="F323" i="11"/>
  <c r="E316" i="11"/>
  <c r="E315" i="11"/>
  <c r="H314" i="11"/>
  <c r="G314" i="11"/>
  <c r="F314" i="11"/>
  <c r="E307" i="11"/>
  <c r="E306" i="11"/>
  <c r="H305" i="11"/>
  <c r="G305" i="11"/>
  <c r="F305" i="11"/>
  <c r="H298" i="11"/>
  <c r="G298" i="11"/>
  <c r="G296" i="11" s="1"/>
  <c r="E297" i="11"/>
  <c r="F296" i="11"/>
  <c r="E289" i="11"/>
  <c r="E288" i="11"/>
  <c r="H287" i="11"/>
  <c r="G287" i="11"/>
  <c r="F287" i="11"/>
  <c r="E280" i="11"/>
  <c r="E279" i="11"/>
  <c r="H278" i="11"/>
  <c r="G278" i="11"/>
  <c r="F278" i="11"/>
  <c r="E271" i="11"/>
  <c r="E270" i="11"/>
  <c r="H269" i="11"/>
  <c r="G269" i="11"/>
  <c r="F269" i="11"/>
  <c r="G262" i="11"/>
  <c r="G261" i="11"/>
  <c r="E261" i="11" s="1"/>
  <c r="H260" i="11"/>
  <c r="F260" i="11"/>
  <c r="G253" i="11"/>
  <c r="E253" i="11" s="1"/>
  <c r="E252" i="11"/>
  <c r="H251" i="11"/>
  <c r="F251" i="11"/>
  <c r="E244" i="11"/>
  <c r="E243" i="11"/>
  <c r="H242" i="11"/>
  <c r="G242" i="11"/>
  <c r="F242" i="11"/>
  <c r="G235" i="11"/>
  <c r="G234" i="11"/>
  <c r="E234" i="11" s="1"/>
  <c r="H233" i="11"/>
  <c r="F233" i="11"/>
  <c r="G226" i="11"/>
  <c r="E225" i="11"/>
  <c r="H224" i="11"/>
  <c r="N224" i="11"/>
  <c r="F224" i="11"/>
  <c r="F217" i="11"/>
  <c r="F208" i="11" s="1"/>
  <c r="H216" i="11"/>
  <c r="H207" i="11" s="1"/>
  <c r="F216" i="11"/>
  <c r="F207" i="11" s="1"/>
  <c r="E199" i="11"/>
  <c r="E198" i="11"/>
  <c r="E181" i="11"/>
  <c r="E180" i="11"/>
  <c r="G179" i="11"/>
  <c r="F179" i="11"/>
  <c r="E179" i="11" s="1"/>
  <c r="E172" i="11"/>
  <c r="E171" i="11"/>
  <c r="G170" i="11"/>
  <c r="F170" i="11"/>
  <c r="E163" i="11"/>
  <c r="E162" i="11"/>
  <c r="G161" i="11"/>
  <c r="F161" i="11"/>
  <c r="F153" i="11"/>
  <c r="E73" i="11"/>
  <c r="E72" i="11"/>
  <c r="G71" i="11"/>
  <c r="F71" i="11"/>
  <c r="H44" i="11"/>
  <c r="G46" i="11"/>
  <c r="G44" i="11"/>
  <c r="E45" i="11"/>
  <c r="F44" i="11"/>
  <c r="E37" i="11"/>
  <c r="E36" i="11"/>
  <c r="G35" i="11"/>
  <c r="F35" i="11"/>
  <c r="F28" i="11"/>
  <c r="H27" i="11"/>
  <c r="G27" i="11"/>
  <c r="G141" i="10"/>
  <c r="E141" i="10"/>
  <c r="E140" i="10"/>
  <c r="H139" i="10"/>
  <c r="G139" i="10"/>
  <c r="F139" i="10"/>
  <c r="E139" i="10" s="1"/>
  <c r="G138" i="10"/>
  <c r="E138" i="10"/>
  <c r="E137" i="10"/>
  <c r="F136" i="10"/>
  <c r="G135" i="10"/>
  <c r="E135" i="10"/>
  <c r="E134" i="10"/>
  <c r="H133" i="10"/>
  <c r="G133" i="10"/>
  <c r="F133" i="10"/>
  <c r="E133" i="10" s="1"/>
  <c r="E132" i="10"/>
  <c r="E131" i="10"/>
  <c r="H130" i="10"/>
  <c r="G130" i="10"/>
  <c r="F130" i="10"/>
  <c r="H129" i="10"/>
  <c r="G129" i="10"/>
  <c r="E128" i="10"/>
  <c r="G127" i="10"/>
  <c r="F127" i="10"/>
  <c r="H126" i="10"/>
  <c r="G126" i="10"/>
  <c r="E125" i="10"/>
  <c r="H124" i="10"/>
  <c r="F124" i="10"/>
  <c r="E123" i="10"/>
  <c r="E122" i="10"/>
  <c r="H121" i="10"/>
  <c r="G121" i="10"/>
  <c r="F121" i="10"/>
  <c r="E120" i="10"/>
  <c r="E119" i="10"/>
  <c r="H118" i="10"/>
  <c r="G118" i="10"/>
  <c r="F118" i="10"/>
  <c r="E118" i="10" s="1"/>
  <c r="H117" i="10"/>
  <c r="G117" i="10"/>
  <c r="E116" i="10"/>
  <c r="H115" i="10"/>
  <c r="F115" i="10"/>
  <c r="E114" i="10"/>
  <c r="E113" i="10"/>
  <c r="H112" i="10"/>
  <c r="G112" i="10"/>
  <c r="F112" i="10"/>
  <c r="E111" i="10"/>
  <c r="E110" i="10"/>
  <c r="H109" i="10"/>
  <c r="G109" i="10"/>
  <c r="F109" i="10"/>
  <c r="E109" i="10"/>
  <c r="E108" i="10"/>
  <c r="E107" i="10"/>
  <c r="H106" i="10"/>
  <c r="G106" i="10"/>
  <c r="F106" i="10"/>
  <c r="G105" i="10"/>
  <c r="E105" i="10"/>
  <c r="G104" i="10"/>
  <c r="H103" i="10"/>
  <c r="F103" i="10"/>
  <c r="G102" i="10"/>
  <c r="E102" i="10" s="1"/>
  <c r="E101" i="10"/>
  <c r="H100" i="10"/>
  <c r="G100" i="10"/>
  <c r="F100" i="10"/>
  <c r="E99" i="10"/>
  <c r="E98" i="10"/>
  <c r="H97" i="10"/>
  <c r="G97" i="10"/>
  <c r="F97" i="10"/>
  <c r="G96" i="10"/>
  <c r="E96" i="10" s="1"/>
  <c r="G95" i="10"/>
  <c r="H94" i="10"/>
  <c r="F94" i="10"/>
  <c r="G93" i="10"/>
  <c r="E93" i="10" s="1"/>
  <c r="E92" i="10"/>
  <c r="H91" i="10"/>
  <c r="G91" i="10"/>
  <c r="F91" i="10"/>
  <c r="F90" i="10"/>
  <c r="H89" i="10"/>
  <c r="H143" i="10" s="1"/>
  <c r="F89" i="10"/>
  <c r="F88" i="10"/>
  <c r="E83" i="10"/>
  <c r="E82" i="10"/>
  <c r="G81" i="10"/>
  <c r="E81" i="10"/>
  <c r="F81" i="10"/>
  <c r="E77" i="10"/>
  <c r="E76" i="10"/>
  <c r="G75" i="10"/>
  <c r="F75" i="10"/>
  <c r="E74" i="10"/>
  <c r="E73" i="10"/>
  <c r="G72" i="10"/>
  <c r="F72" i="10"/>
  <c r="E71" i="10"/>
  <c r="E70" i="10"/>
  <c r="G69" i="10"/>
  <c r="F69" i="10"/>
  <c r="H68" i="10"/>
  <c r="G68" i="10"/>
  <c r="E68" i="10"/>
  <c r="H67" i="10"/>
  <c r="H66" i="10" s="1"/>
  <c r="G67" i="10"/>
  <c r="G64" i="10"/>
  <c r="F67" i="10"/>
  <c r="F66" i="10" s="1"/>
  <c r="H65" i="10"/>
  <c r="H86" i="10" s="1"/>
  <c r="F65" i="10"/>
  <c r="F86" i="10"/>
  <c r="E58" i="10"/>
  <c r="E57" i="10"/>
  <c r="G56" i="10"/>
  <c r="F56" i="10"/>
  <c r="H55" i="10"/>
  <c r="G55" i="10"/>
  <c r="F55" i="10"/>
  <c r="H54" i="10"/>
  <c r="G54" i="10"/>
  <c r="F54" i="10"/>
  <c r="H52" i="10"/>
  <c r="H49" i="10"/>
  <c r="E51" i="10"/>
  <c r="G50" i="10"/>
  <c r="F50" i="10"/>
  <c r="G49" i="10"/>
  <c r="F49" i="10"/>
  <c r="H48" i="10"/>
  <c r="G48" i="10"/>
  <c r="F48" i="10"/>
  <c r="E43" i="10"/>
  <c r="E42" i="10"/>
  <c r="G41" i="10"/>
  <c r="F41" i="10"/>
  <c r="E40" i="10"/>
  <c r="F39" i="10"/>
  <c r="G38" i="10"/>
  <c r="E37" i="10"/>
  <c r="E36" i="10"/>
  <c r="G35" i="10"/>
  <c r="F35" i="10"/>
  <c r="E34" i="10"/>
  <c r="E33" i="10"/>
  <c r="H32" i="10"/>
  <c r="G32" i="10"/>
  <c r="F32" i="10"/>
  <c r="H31" i="10"/>
  <c r="G31" i="10"/>
  <c r="F31" i="10"/>
  <c r="H30" i="10"/>
  <c r="G30" i="10"/>
  <c r="H28" i="10"/>
  <c r="G28" i="10"/>
  <c r="G26" i="10" s="1"/>
  <c r="E27" i="10"/>
  <c r="F26" i="10"/>
  <c r="E25" i="10"/>
  <c r="E24" i="10"/>
  <c r="G23" i="10"/>
  <c r="F23" i="10"/>
  <c r="H22" i="10"/>
  <c r="F22" i="10"/>
  <c r="H21" i="10"/>
  <c r="G21" i="10"/>
  <c r="F21" i="10"/>
  <c r="F20" i="10" s="1"/>
  <c r="F38" i="10"/>
  <c r="H37" i="9"/>
  <c r="I68" i="9"/>
  <c r="G68" i="9"/>
  <c r="L68" i="9"/>
  <c r="I48" i="9"/>
  <c r="G48" i="9" s="1"/>
  <c r="L48" i="9" s="1"/>
  <c r="I97" i="9"/>
  <c r="G97" i="9" s="1"/>
  <c r="L97" i="9" s="1"/>
  <c r="I96" i="9"/>
  <c r="G96" i="9" s="1"/>
  <c r="L96" i="9" s="1"/>
  <c r="I43" i="9"/>
  <c r="G43" i="9"/>
  <c r="L43" i="9"/>
  <c r="H52" i="9"/>
  <c r="H53" i="9"/>
  <c r="I54" i="9"/>
  <c r="G54" i="9"/>
  <c r="L54" i="9" s="1"/>
  <c r="I55" i="9"/>
  <c r="G55" i="9"/>
  <c r="L55" i="9"/>
  <c r="I66" i="9"/>
  <c r="G66" i="9" s="1"/>
  <c r="L66" i="9" s="1"/>
  <c r="I67" i="9"/>
  <c r="G67" i="9" s="1"/>
  <c r="L67" i="9" s="1"/>
  <c r="I30" i="9"/>
  <c r="G30" i="9"/>
  <c r="L30" i="9" s="1"/>
  <c r="I74" i="9"/>
  <c r="G74" i="9"/>
  <c r="L74" i="9"/>
  <c r="I34" i="9"/>
  <c r="G34" i="9" s="1"/>
  <c r="L34" i="9" s="1"/>
  <c r="F86" i="9"/>
  <c r="F85" i="9"/>
  <c r="I78" i="9"/>
  <c r="G78" i="9" s="1"/>
  <c r="L78" i="9" s="1"/>
  <c r="I79" i="9"/>
  <c r="G79" i="9"/>
  <c r="L79" i="9" s="1"/>
  <c r="I17" i="9"/>
  <c r="G17" i="9" s="1"/>
  <c r="L17" i="9" s="1"/>
  <c r="Q17" i="9" s="1"/>
  <c r="I23" i="9"/>
  <c r="G23" i="9" s="1"/>
  <c r="L23" i="9" s="1"/>
  <c r="H20" i="9"/>
  <c r="I13" i="9"/>
  <c r="I12" i="9"/>
  <c r="G12" i="9"/>
  <c r="L12" i="9" s="1"/>
  <c r="G13" i="9"/>
  <c r="L13" i="9" s="1"/>
  <c r="F9" i="9"/>
  <c r="L9" i="9" s="1"/>
  <c r="M108" i="9"/>
  <c r="I95" i="9"/>
  <c r="G95" i="9" s="1"/>
  <c r="L95" i="9"/>
  <c r="I94" i="9"/>
  <c r="G94" i="9" s="1"/>
  <c r="L94" i="9" s="1"/>
  <c r="I93" i="9"/>
  <c r="G93" i="9" s="1"/>
  <c r="L93" i="9" s="1"/>
  <c r="I91" i="9"/>
  <c r="G91" i="9"/>
  <c r="L91" i="9" s="1"/>
  <c r="I90" i="9"/>
  <c r="G90" i="9" s="1"/>
  <c r="L90" i="9"/>
  <c r="I89" i="9"/>
  <c r="H89" i="9"/>
  <c r="I88" i="9"/>
  <c r="G88" i="9"/>
  <c r="L88" i="9" s="1"/>
  <c r="L117" i="9" s="1"/>
  <c r="I87" i="9"/>
  <c r="G87" i="9"/>
  <c r="L87" i="9"/>
  <c r="L116" i="9" s="1"/>
  <c r="I86" i="9"/>
  <c r="G86" i="9"/>
  <c r="L86" i="9" s="1"/>
  <c r="I85" i="9"/>
  <c r="G85" i="9" s="1"/>
  <c r="I84" i="9"/>
  <c r="G84" i="9" s="1"/>
  <c r="L84" i="9" s="1"/>
  <c r="I83" i="9"/>
  <c r="G83" i="9"/>
  <c r="L83" i="9" s="1"/>
  <c r="I82" i="9"/>
  <c r="G82" i="9" s="1"/>
  <c r="L82" i="9" s="1"/>
  <c r="I81" i="9"/>
  <c r="G81" i="9" s="1"/>
  <c r="L81" i="9" s="1"/>
  <c r="I80" i="9"/>
  <c r="G80" i="9" s="1"/>
  <c r="L80" i="9" s="1"/>
  <c r="I77" i="9"/>
  <c r="G77" i="9"/>
  <c r="L77" i="9" s="1"/>
  <c r="I76" i="9"/>
  <c r="G76" i="9" s="1"/>
  <c r="L76" i="9" s="1"/>
  <c r="I75" i="9"/>
  <c r="G75" i="9" s="1"/>
  <c r="L75" i="9" s="1"/>
  <c r="L112" i="9" s="1"/>
  <c r="I73" i="9"/>
  <c r="G73" i="9" s="1"/>
  <c r="L73" i="9" s="1"/>
  <c r="I72" i="9"/>
  <c r="G72" i="9"/>
  <c r="L72" i="9" s="1"/>
  <c r="L110" i="9" s="1"/>
  <c r="I71" i="9"/>
  <c r="G71" i="9" s="1"/>
  <c r="L71" i="9" s="1"/>
  <c r="I70" i="9"/>
  <c r="G70" i="9"/>
  <c r="L70" i="9" s="1"/>
  <c r="I69" i="9"/>
  <c r="G69" i="9" s="1"/>
  <c r="L69" i="9" s="1"/>
  <c r="I65" i="9"/>
  <c r="G65" i="9" s="1"/>
  <c r="L65" i="9" s="1"/>
  <c r="I64" i="9"/>
  <c r="G64" i="9" s="1"/>
  <c r="L64" i="9" s="1"/>
  <c r="I63" i="9"/>
  <c r="G63" i="9"/>
  <c r="L63" i="9" s="1"/>
  <c r="I62" i="9"/>
  <c r="G62" i="9" s="1"/>
  <c r="L62" i="9" s="1"/>
  <c r="I61" i="9"/>
  <c r="G61" i="9" s="1"/>
  <c r="L61" i="9" s="1"/>
  <c r="I60" i="9"/>
  <c r="G60" i="9" s="1"/>
  <c r="L60" i="9" s="1"/>
  <c r="I59" i="9"/>
  <c r="G59" i="9"/>
  <c r="L59" i="9" s="1"/>
  <c r="I58" i="9"/>
  <c r="G58" i="9" s="1"/>
  <c r="L58" i="9" s="1"/>
  <c r="I57" i="9"/>
  <c r="G57" i="9" s="1"/>
  <c r="L57" i="9" s="1"/>
  <c r="I56" i="9"/>
  <c r="G56" i="9" s="1"/>
  <c r="L56" i="9" s="1"/>
  <c r="I53" i="9"/>
  <c r="G53" i="9"/>
  <c r="I52" i="9"/>
  <c r="G52" i="9" s="1"/>
  <c r="I51" i="9"/>
  <c r="G51" i="9"/>
  <c r="L51" i="9"/>
  <c r="I49" i="9"/>
  <c r="G49" i="9" s="1"/>
  <c r="L49" i="9" s="1"/>
  <c r="I47" i="9"/>
  <c r="G47" i="9" s="1"/>
  <c r="L47" i="9" s="1"/>
  <c r="I46" i="9"/>
  <c r="G46" i="9" s="1"/>
  <c r="L46" i="9" s="1"/>
  <c r="I45" i="9"/>
  <c r="G45" i="9"/>
  <c r="L45" i="9"/>
  <c r="I44" i="9"/>
  <c r="G44" i="9" s="1"/>
  <c r="L44" i="9" s="1"/>
  <c r="I42" i="9"/>
  <c r="G42" i="9" s="1"/>
  <c r="L42" i="9" s="1"/>
  <c r="I41" i="9"/>
  <c r="G41" i="9" s="1"/>
  <c r="L41" i="9" s="1"/>
  <c r="I40" i="9"/>
  <c r="G40" i="9"/>
  <c r="L40" i="9"/>
  <c r="L104" i="9" s="1"/>
  <c r="I39" i="9"/>
  <c r="G39" i="9"/>
  <c r="L39" i="9" s="1"/>
  <c r="I38" i="9"/>
  <c r="G38" i="9" s="1"/>
  <c r="L38" i="9" s="1"/>
  <c r="I37" i="9"/>
  <c r="G37" i="9" s="1"/>
  <c r="L37" i="9" s="1"/>
  <c r="I36" i="9"/>
  <c r="G36" i="9"/>
  <c r="L36" i="9" s="1"/>
  <c r="I35" i="9"/>
  <c r="G35" i="9"/>
  <c r="L35" i="9" s="1"/>
  <c r="I33" i="9"/>
  <c r="G33" i="9" s="1"/>
  <c r="L33" i="9" s="1"/>
  <c r="I32" i="9"/>
  <c r="G32" i="9" s="1"/>
  <c r="L32" i="9" s="1"/>
  <c r="I31" i="9"/>
  <c r="G31" i="9"/>
  <c r="L31" i="9" s="1"/>
  <c r="I29" i="9"/>
  <c r="G29" i="9"/>
  <c r="L29" i="9" s="1"/>
  <c r="I28" i="9"/>
  <c r="G28" i="9" s="1"/>
  <c r="L28" i="9" s="1"/>
  <c r="I27" i="9"/>
  <c r="G27" i="9" s="1"/>
  <c r="L27" i="9" s="1"/>
  <c r="Q27" i="9" s="1"/>
  <c r="I24" i="9"/>
  <c r="G24" i="9"/>
  <c r="L24" i="9" s="1"/>
  <c r="Q24" i="9" s="1"/>
  <c r="I22" i="9"/>
  <c r="G22" i="9" s="1"/>
  <c r="L22" i="9" s="1"/>
  <c r="I21" i="9"/>
  <c r="G21" i="9"/>
  <c r="L21" i="9" s="1"/>
  <c r="I20" i="9"/>
  <c r="I16" i="9"/>
  <c r="G16" i="9"/>
  <c r="L16" i="9" s="1"/>
  <c r="I15" i="9"/>
  <c r="G15" i="9" s="1"/>
  <c r="L15" i="9" s="1"/>
  <c r="I14" i="9"/>
  <c r="G14" i="9" s="1"/>
  <c r="L14" i="9" s="1"/>
  <c r="I11" i="9"/>
  <c r="G11" i="9" s="1"/>
  <c r="L11" i="9" s="1"/>
  <c r="I10" i="9"/>
  <c r="G10" i="9"/>
  <c r="L10" i="9" s="1"/>
  <c r="I9" i="9"/>
  <c r="G9" i="9" s="1"/>
  <c r="H81" i="8"/>
  <c r="H135" i="8" s="1"/>
  <c r="H80" i="8"/>
  <c r="F81" i="8"/>
  <c r="F79" i="8" s="1"/>
  <c r="F80" i="8"/>
  <c r="H56" i="8"/>
  <c r="F56" i="8"/>
  <c r="F58" i="8"/>
  <c r="F57" i="8" s="1"/>
  <c r="G58" i="8"/>
  <c r="G55" i="8"/>
  <c r="G59" i="8"/>
  <c r="H58" i="8"/>
  <c r="H55" i="8"/>
  <c r="H25" i="8"/>
  <c r="H24" i="8"/>
  <c r="G24" i="8"/>
  <c r="G23" i="8"/>
  <c r="G25" i="8"/>
  <c r="F25" i="8"/>
  <c r="F16" i="8"/>
  <c r="H15" i="8"/>
  <c r="H12" i="8" s="1"/>
  <c r="H51" i="8" s="1"/>
  <c r="G15" i="8"/>
  <c r="H43" i="8"/>
  <c r="F15" i="8"/>
  <c r="H22" i="8"/>
  <c r="H16" i="8" s="1"/>
  <c r="E9" i="7"/>
  <c r="H52" i="7"/>
  <c r="F52" i="7" s="1"/>
  <c r="K52" i="7" s="1"/>
  <c r="H51" i="7"/>
  <c r="F51" i="7" s="1"/>
  <c r="K51" i="7" s="1"/>
  <c r="H50" i="7"/>
  <c r="F50" i="7"/>
  <c r="K50" i="7"/>
  <c r="E69" i="7"/>
  <c r="H70" i="7"/>
  <c r="F70" i="7" s="1"/>
  <c r="K70" i="7" s="1"/>
  <c r="H69" i="7"/>
  <c r="F69" i="7"/>
  <c r="H68" i="7"/>
  <c r="F68" i="7" s="1"/>
  <c r="K68" i="7" s="1"/>
  <c r="H14" i="7"/>
  <c r="F14" i="7"/>
  <c r="K14" i="7" s="1"/>
  <c r="H33" i="7"/>
  <c r="F33" i="7"/>
  <c r="K33" i="7" s="1"/>
  <c r="H53" i="7"/>
  <c r="F53" i="7" s="1"/>
  <c r="K53" i="7" s="1"/>
  <c r="H54" i="7"/>
  <c r="F54" i="7" s="1"/>
  <c r="K54" i="7" s="1"/>
  <c r="H49" i="7"/>
  <c r="F49" i="7"/>
  <c r="K49" i="7" s="1"/>
  <c r="L90" i="7"/>
  <c r="H77" i="8"/>
  <c r="G132" i="8"/>
  <c r="E132" i="8"/>
  <c r="E131" i="8"/>
  <c r="H130" i="8"/>
  <c r="F130" i="8"/>
  <c r="G129" i="8"/>
  <c r="E129" i="8" s="1"/>
  <c r="E128" i="8"/>
  <c r="F127" i="8"/>
  <c r="G126" i="8"/>
  <c r="E126" i="8" s="1"/>
  <c r="E125" i="8"/>
  <c r="H124" i="8"/>
  <c r="G124" i="8"/>
  <c r="F124" i="8"/>
  <c r="E123" i="8"/>
  <c r="E122" i="8"/>
  <c r="H121" i="8"/>
  <c r="G121" i="8"/>
  <c r="F121" i="8"/>
  <c r="G120" i="8"/>
  <c r="E119" i="8"/>
  <c r="F118" i="8"/>
  <c r="G117" i="8"/>
  <c r="E117" i="8"/>
  <c r="E116" i="8"/>
  <c r="H115" i="8"/>
  <c r="G115" i="8"/>
  <c r="F115" i="8"/>
  <c r="E115" i="8" s="1"/>
  <c r="E114" i="8"/>
  <c r="E113" i="8"/>
  <c r="H112" i="8"/>
  <c r="G112" i="8"/>
  <c r="F112" i="8"/>
  <c r="E111" i="8"/>
  <c r="E110" i="8"/>
  <c r="H109" i="8"/>
  <c r="G109" i="8"/>
  <c r="F109" i="8"/>
  <c r="G108" i="8"/>
  <c r="E108" i="8" s="1"/>
  <c r="E107" i="8"/>
  <c r="H106" i="8"/>
  <c r="G106" i="8"/>
  <c r="E106" i="8" s="1"/>
  <c r="F106" i="8"/>
  <c r="E105" i="8"/>
  <c r="E104" i="8"/>
  <c r="H103" i="8"/>
  <c r="G103" i="8"/>
  <c r="F103" i="8"/>
  <c r="E102" i="8"/>
  <c r="E101" i="8"/>
  <c r="H100" i="8"/>
  <c r="G100" i="8"/>
  <c r="F100" i="8"/>
  <c r="E99" i="8"/>
  <c r="E98" i="8"/>
  <c r="H97" i="8"/>
  <c r="G97" i="8"/>
  <c r="F97" i="8"/>
  <c r="G96" i="8"/>
  <c r="G95" i="8"/>
  <c r="H94" i="8"/>
  <c r="F94" i="8"/>
  <c r="G93" i="8"/>
  <c r="E93" i="8" s="1"/>
  <c r="E92" i="8"/>
  <c r="H91" i="8"/>
  <c r="G91" i="8"/>
  <c r="E91" i="8" s="1"/>
  <c r="F91" i="8"/>
  <c r="E90" i="8"/>
  <c r="E89" i="8"/>
  <c r="H88" i="8"/>
  <c r="G88" i="8"/>
  <c r="F88" i="8"/>
  <c r="G87" i="8"/>
  <c r="E87" i="8" s="1"/>
  <c r="G86" i="8"/>
  <c r="H85" i="8"/>
  <c r="F85" i="8"/>
  <c r="G84" i="8"/>
  <c r="G82" i="8" s="1"/>
  <c r="E83" i="8"/>
  <c r="F82" i="8"/>
  <c r="F135" i="8"/>
  <c r="H134" i="8"/>
  <c r="E74" i="8"/>
  <c r="E73" i="8"/>
  <c r="G72" i="8"/>
  <c r="F72" i="8"/>
  <c r="E68" i="8"/>
  <c r="E67" i="8"/>
  <c r="G66" i="8"/>
  <c r="F66" i="8"/>
  <c r="E66" i="8"/>
  <c r="E65" i="8"/>
  <c r="E64" i="8"/>
  <c r="G63" i="8"/>
  <c r="F63" i="8"/>
  <c r="E63" i="8"/>
  <c r="E62" i="8"/>
  <c r="E61" i="8"/>
  <c r="G60" i="8"/>
  <c r="F60" i="8"/>
  <c r="E60" i="8" s="1"/>
  <c r="E49" i="8"/>
  <c r="E48" i="8"/>
  <c r="H47" i="8"/>
  <c r="G47" i="8"/>
  <c r="E47" i="8"/>
  <c r="F47" i="8"/>
  <c r="H46" i="8"/>
  <c r="G46" i="8"/>
  <c r="F46" i="8"/>
  <c r="F44" i="8" s="1"/>
  <c r="H45" i="8"/>
  <c r="H44" i="8" s="1"/>
  <c r="G45" i="8"/>
  <c r="E45" i="8" s="1"/>
  <c r="F45" i="8"/>
  <c r="E43" i="8"/>
  <c r="E42" i="8"/>
  <c r="G41" i="8"/>
  <c r="F41" i="8"/>
  <c r="G40" i="8"/>
  <c r="F40" i="8"/>
  <c r="F13" i="8" s="1"/>
  <c r="F52" i="8" s="1"/>
  <c r="H39" i="8"/>
  <c r="G39" i="8"/>
  <c r="G38" i="8" s="1"/>
  <c r="F39" i="8"/>
  <c r="E37" i="8"/>
  <c r="E36" i="8"/>
  <c r="G35" i="8"/>
  <c r="F35" i="8"/>
  <c r="E34" i="8"/>
  <c r="F33" i="8"/>
  <c r="G32" i="8"/>
  <c r="E31" i="8"/>
  <c r="E30" i="8"/>
  <c r="G29" i="8"/>
  <c r="F29" i="8"/>
  <c r="E29" i="8"/>
  <c r="E28" i="8"/>
  <c r="E27" i="8"/>
  <c r="H26" i="8"/>
  <c r="G26" i="8"/>
  <c r="E26" i="8" s="1"/>
  <c r="F26" i="8"/>
  <c r="G22" i="8"/>
  <c r="G16" i="8" s="1"/>
  <c r="G13" i="8" s="1"/>
  <c r="E21" i="8"/>
  <c r="F20" i="8"/>
  <c r="E19" i="8"/>
  <c r="E18" i="8"/>
  <c r="G17" i="8"/>
  <c r="E17" i="8" s="1"/>
  <c r="F17" i="8"/>
  <c r="H88" i="2"/>
  <c r="H79" i="7"/>
  <c r="F79" i="7" s="1"/>
  <c r="K79" i="7" s="1"/>
  <c r="H78" i="7"/>
  <c r="F78" i="7"/>
  <c r="K78" i="7" s="1"/>
  <c r="H77" i="7"/>
  <c r="F77" i="7" s="1"/>
  <c r="K77" i="7" s="1"/>
  <c r="H75" i="7"/>
  <c r="F75" i="7" s="1"/>
  <c r="K75" i="7" s="1"/>
  <c r="H74" i="7"/>
  <c r="F74" i="7" s="1"/>
  <c r="K74" i="7" s="1"/>
  <c r="H73" i="7"/>
  <c r="G73" i="7"/>
  <c r="H72" i="7"/>
  <c r="F72" i="7" s="1"/>
  <c r="K72" i="7" s="1"/>
  <c r="K99" i="7" s="1"/>
  <c r="H71" i="7"/>
  <c r="F71" i="7" s="1"/>
  <c r="K71" i="7" s="1"/>
  <c r="K98" i="7"/>
  <c r="H67" i="7"/>
  <c r="F67" i="7" s="1"/>
  <c r="K67" i="7" s="1"/>
  <c r="H66" i="7"/>
  <c r="F66" i="7" s="1"/>
  <c r="K66" i="7" s="1"/>
  <c r="H65" i="7"/>
  <c r="F65" i="7" s="1"/>
  <c r="K65" i="7" s="1"/>
  <c r="H64" i="7"/>
  <c r="F64" i="7"/>
  <c r="K64" i="7"/>
  <c r="H63" i="7"/>
  <c r="F63" i="7" s="1"/>
  <c r="K63" i="7" s="1"/>
  <c r="K96" i="7" s="1"/>
  <c r="H62" i="7"/>
  <c r="F62" i="7"/>
  <c r="K62" i="7"/>
  <c r="K95" i="7" s="1"/>
  <c r="H61" i="7"/>
  <c r="F61" i="7"/>
  <c r="K61" i="7"/>
  <c r="K94" i="7" s="1"/>
  <c r="L94" i="7" s="1"/>
  <c r="H60" i="7"/>
  <c r="F60" i="7"/>
  <c r="K60" i="7"/>
  <c r="K93" i="7" s="1"/>
  <c r="L93" i="7" s="1"/>
  <c r="H59" i="7"/>
  <c r="F59" i="7"/>
  <c r="K59" i="7"/>
  <c r="K92" i="7" s="1"/>
  <c r="H58" i="7"/>
  <c r="F58" i="7"/>
  <c r="K58" i="7"/>
  <c r="H57" i="7"/>
  <c r="F57" i="7" s="1"/>
  <c r="K57" i="7" s="1"/>
  <c r="H56" i="7"/>
  <c r="F56" i="7" s="1"/>
  <c r="K56" i="7" s="1"/>
  <c r="H55" i="7"/>
  <c r="F55" i="7"/>
  <c r="K55" i="7"/>
  <c r="H48" i="7"/>
  <c r="F48" i="7"/>
  <c r="K48" i="7"/>
  <c r="H47" i="7"/>
  <c r="F47" i="7" s="1"/>
  <c r="K47" i="7" s="1"/>
  <c r="H46" i="7"/>
  <c r="F46" i="7" s="1"/>
  <c r="K46" i="7" s="1"/>
  <c r="H45" i="7"/>
  <c r="F45" i="7"/>
  <c r="K45" i="7" s="1"/>
  <c r="H44" i="7"/>
  <c r="F44" i="7"/>
  <c r="K44" i="7"/>
  <c r="H43" i="7"/>
  <c r="F43" i="7" s="1"/>
  <c r="K43" i="7" s="1"/>
  <c r="H42" i="7"/>
  <c r="F42" i="7" s="1"/>
  <c r="K42" i="7" s="1"/>
  <c r="H41" i="7"/>
  <c r="F41" i="7"/>
  <c r="K41" i="7" s="1"/>
  <c r="H40" i="7"/>
  <c r="F40" i="7"/>
  <c r="K40" i="7"/>
  <c r="H39" i="7"/>
  <c r="F39" i="7"/>
  <c r="K39" i="7" s="1"/>
  <c r="H38" i="7"/>
  <c r="F38" i="7"/>
  <c r="K38" i="7"/>
  <c r="K88" i="7" s="1"/>
  <c r="H37" i="7"/>
  <c r="F37" i="7"/>
  <c r="K37" i="7"/>
  <c r="H36" i="7"/>
  <c r="F36" i="7" s="1"/>
  <c r="K36" i="7" s="1"/>
  <c r="K87" i="7" s="1"/>
  <c r="H35" i="7"/>
  <c r="F35" i="7" s="1"/>
  <c r="K35" i="7" s="1"/>
  <c r="K86" i="7"/>
  <c r="H34" i="7"/>
  <c r="F34" i="7"/>
  <c r="K34" i="7"/>
  <c r="H32" i="7"/>
  <c r="F32" i="7" s="1"/>
  <c r="K32" i="7" s="1"/>
  <c r="H31" i="7"/>
  <c r="F31" i="7" s="1"/>
  <c r="K31" i="7" s="1"/>
  <c r="H30" i="7"/>
  <c r="F30" i="7"/>
  <c r="K30" i="7" s="1"/>
  <c r="H29" i="7"/>
  <c r="F29" i="7"/>
  <c r="K29" i="7" s="1"/>
  <c r="H28" i="7"/>
  <c r="F28" i="7"/>
  <c r="K28" i="7"/>
  <c r="H27" i="7"/>
  <c r="F27" i="7" s="1"/>
  <c r="K27" i="7" s="1"/>
  <c r="H26" i="7"/>
  <c r="F26" i="7" s="1"/>
  <c r="K26" i="7" s="1"/>
  <c r="H25" i="7"/>
  <c r="F25" i="7"/>
  <c r="K25" i="7" s="1"/>
  <c r="H24" i="7"/>
  <c r="F24" i="7"/>
  <c r="K24" i="7"/>
  <c r="H21" i="7"/>
  <c r="F21" i="7" s="1"/>
  <c r="K21" i="7" s="1"/>
  <c r="H20" i="7"/>
  <c r="F20" i="7"/>
  <c r="K20" i="7" s="1"/>
  <c r="H19" i="7"/>
  <c r="F19" i="7"/>
  <c r="K19" i="7" s="1"/>
  <c r="H18" i="7"/>
  <c r="F18" i="7"/>
  <c r="K18" i="7"/>
  <c r="H15" i="7"/>
  <c r="F15" i="7"/>
  <c r="K15" i="7"/>
  <c r="H13" i="7"/>
  <c r="F13" i="7" s="1"/>
  <c r="K13" i="7" s="1"/>
  <c r="H12" i="7"/>
  <c r="F12" i="7" s="1"/>
  <c r="K12" i="7" s="1"/>
  <c r="H11" i="7"/>
  <c r="F11" i="7"/>
  <c r="K11" i="7"/>
  <c r="H10" i="7"/>
  <c r="F10" i="7"/>
  <c r="K10" i="7"/>
  <c r="H9" i="7"/>
  <c r="F9" i="7" s="1"/>
  <c r="K9" i="7" s="1"/>
  <c r="F38" i="8"/>
  <c r="E58" i="8"/>
  <c r="H23" i="8"/>
  <c r="E25" i="8"/>
  <c r="G57" i="8"/>
  <c r="E84" i="8"/>
  <c r="G127" i="8"/>
  <c r="F134" i="8"/>
  <c r="F133" i="8" s="1"/>
  <c r="H31" i="6"/>
  <c r="F31" i="6"/>
  <c r="K31" i="6" s="1"/>
  <c r="H69" i="6"/>
  <c r="H68" i="6"/>
  <c r="F68" i="6"/>
  <c r="K68" i="6" s="1"/>
  <c r="K91" i="6" s="1"/>
  <c r="H67" i="6"/>
  <c r="F67" i="6"/>
  <c r="K67" i="6" s="1"/>
  <c r="H65" i="6"/>
  <c r="H64" i="6"/>
  <c r="H63" i="6"/>
  <c r="H62" i="6"/>
  <c r="F62" i="6" s="1"/>
  <c r="K62" i="6" s="1"/>
  <c r="K89" i="6" s="1"/>
  <c r="H61" i="6"/>
  <c r="F61" i="6" s="1"/>
  <c r="K61" i="6" s="1"/>
  <c r="K88" i="6"/>
  <c r="H60" i="6"/>
  <c r="F60" i="6" s="1"/>
  <c r="K60" i="6" s="1"/>
  <c r="H59" i="6"/>
  <c r="F59" i="6" s="1"/>
  <c r="K59" i="6" s="1"/>
  <c r="H58" i="6"/>
  <c r="H57" i="6"/>
  <c r="F57" i="6" s="1"/>
  <c r="K57" i="6" s="1"/>
  <c r="H56" i="6"/>
  <c r="F56" i="6"/>
  <c r="K56" i="6" s="1"/>
  <c r="K87" i="6" s="1"/>
  <c r="H55" i="6"/>
  <c r="F55" i="6"/>
  <c r="K55" i="6"/>
  <c r="K86" i="6" s="1"/>
  <c r="H54" i="6"/>
  <c r="F54" i="6"/>
  <c r="K54" i="6" s="1"/>
  <c r="K85" i="6" s="1"/>
  <c r="H53" i="6"/>
  <c r="F53" i="6" s="1"/>
  <c r="K53" i="6" s="1"/>
  <c r="K84" i="6" s="1"/>
  <c r="H52" i="6"/>
  <c r="H51" i="6"/>
  <c r="F51" i="6" s="1"/>
  <c r="K51" i="6" s="1"/>
  <c r="K82" i="6"/>
  <c r="H50" i="6"/>
  <c r="H49" i="6"/>
  <c r="F49" i="6"/>
  <c r="K49" i="6" s="1"/>
  <c r="K81" i="6" s="1"/>
  <c r="H48" i="6"/>
  <c r="F48" i="6"/>
  <c r="K48" i="6"/>
  <c r="H47" i="6"/>
  <c r="F47" i="6"/>
  <c r="K47" i="6"/>
  <c r="H46" i="6"/>
  <c r="F46" i="6" s="1"/>
  <c r="K46" i="6" s="1"/>
  <c r="H45" i="6"/>
  <c r="F45" i="6" s="1"/>
  <c r="H44" i="6"/>
  <c r="F44" i="6" s="1"/>
  <c r="K44" i="6" s="1"/>
  <c r="H43" i="6"/>
  <c r="F43" i="6"/>
  <c r="K43" i="6" s="1"/>
  <c r="H42" i="6"/>
  <c r="F42" i="6"/>
  <c r="K42" i="6" s="1"/>
  <c r="H41" i="6"/>
  <c r="F41" i="6"/>
  <c r="K41" i="6"/>
  <c r="H40" i="6"/>
  <c r="F40" i="6" s="1"/>
  <c r="K40" i="6" s="1"/>
  <c r="H39" i="6"/>
  <c r="F39" i="6" s="1"/>
  <c r="K39" i="6" s="1"/>
  <c r="H38" i="6"/>
  <c r="F38" i="6"/>
  <c r="K38" i="6"/>
  <c r="H37" i="6"/>
  <c r="F37" i="6"/>
  <c r="K37" i="6" s="1"/>
  <c r="K79" i="6" s="1"/>
  <c r="H36" i="6"/>
  <c r="F36" i="6" s="1"/>
  <c r="K36" i="6" s="1"/>
  <c r="K78" i="6" s="1"/>
  <c r="H35" i="6"/>
  <c r="F35" i="6"/>
  <c r="K35" i="6" s="1"/>
  <c r="H34" i="6"/>
  <c r="F34" i="6" s="1"/>
  <c r="K34" i="6" s="1"/>
  <c r="K77" i="6" s="1"/>
  <c r="H33" i="6"/>
  <c r="F33" i="6" s="1"/>
  <c r="K33" i="6" s="1"/>
  <c r="K76" i="6" s="1"/>
  <c r="M104" i="9" s="1"/>
  <c r="H32" i="6"/>
  <c r="F32" i="6" s="1"/>
  <c r="K32" i="6" s="1"/>
  <c r="H30" i="6"/>
  <c r="H29" i="6"/>
  <c r="F29" i="6"/>
  <c r="K29" i="6"/>
  <c r="H28" i="6"/>
  <c r="F28" i="6" s="1"/>
  <c r="K28" i="6" s="1"/>
  <c r="H27" i="6"/>
  <c r="F27" i="6"/>
  <c r="K27" i="6" s="1"/>
  <c r="H26" i="6"/>
  <c r="F26" i="6"/>
  <c r="K26" i="6" s="1"/>
  <c r="H25" i="6"/>
  <c r="F25" i="6" s="1"/>
  <c r="K25" i="6" s="1"/>
  <c r="H24" i="6"/>
  <c r="F24" i="6" s="1"/>
  <c r="K24" i="6" s="1"/>
  <c r="F69" i="6"/>
  <c r="K69" i="6"/>
  <c r="F65" i="6"/>
  <c r="K65" i="6" s="1"/>
  <c r="F64" i="6"/>
  <c r="K64" i="6" s="1"/>
  <c r="F58" i="6"/>
  <c r="K58" i="6" s="1"/>
  <c r="F52" i="6"/>
  <c r="K52" i="6" s="1"/>
  <c r="K83" i="6" s="1"/>
  <c r="F50" i="6"/>
  <c r="K50" i="6"/>
  <c r="F30" i="6"/>
  <c r="K30" i="6" s="1"/>
  <c r="G63" i="6"/>
  <c r="F63" i="6" s="1"/>
  <c r="K63" i="6" s="1"/>
  <c r="K45" i="6"/>
  <c r="H23" i="6"/>
  <c r="F23" i="6" s="1"/>
  <c r="K23" i="6" s="1"/>
  <c r="H20" i="6"/>
  <c r="F20" i="6" s="1"/>
  <c r="K20" i="6" s="1"/>
  <c r="H19" i="6"/>
  <c r="F19" i="6" s="1"/>
  <c r="K19" i="6" s="1"/>
  <c r="H18" i="6"/>
  <c r="F18" i="6"/>
  <c r="K18" i="6" s="1"/>
  <c r="H17" i="6"/>
  <c r="F17" i="6" s="1"/>
  <c r="K17" i="6" s="1"/>
  <c r="H14" i="6"/>
  <c r="F14" i="6" s="1"/>
  <c r="K14" i="6" s="1"/>
  <c r="H13" i="6"/>
  <c r="F13" i="6" s="1"/>
  <c r="K13" i="6" s="1"/>
  <c r="H12" i="6"/>
  <c r="F12" i="6"/>
  <c r="K12" i="6" s="1"/>
  <c r="H11" i="6"/>
  <c r="F11" i="6" s="1"/>
  <c r="K11" i="6" s="1"/>
  <c r="H10" i="6"/>
  <c r="F10" i="6" s="1"/>
  <c r="K10" i="6" s="1"/>
  <c r="H9" i="6"/>
  <c r="F9" i="6" s="1"/>
  <c r="K9" i="6" s="1"/>
  <c r="H40" i="5"/>
  <c r="F40" i="5" s="1"/>
  <c r="K40" i="5" s="1"/>
  <c r="H39" i="5"/>
  <c r="F39" i="5"/>
  <c r="K39" i="5" s="1"/>
  <c r="H38" i="5"/>
  <c r="F38" i="5" s="1"/>
  <c r="K38" i="5" s="1"/>
  <c r="H37" i="5"/>
  <c r="F37" i="5" s="1"/>
  <c r="K37" i="5" s="1"/>
  <c r="H36" i="5"/>
  <c r="F36" i="5" s="1"/>
  <c r="K36" i="5" s="1"/>
  <c r="H35" i="5"/>
  <c r="F35" i="5"/>
  <c r="K35" i="5" s="1"/>
  <c r="H34" i="5"/>
  <c r="F34" i="5"/>
  <c r="K34" i="5" s="1"/>
  <c r="H30" i="5"/>
  <c r="F30" i="5" s="1"/>
  <c r="K30" i="5" s="1"/>
  <c r="H29" i="5"/>
  <c r="F29" i="5" s="1"/>
  <c r="K29" i="5" s="1"/>
  <c r="H28" i="5"/>
  <c r="F28" i="5" s="1"/>
  <c r="K28" i="5" s="1"/>
  <c r="H27" i="5"/>
  <c r="F27" i="5"/>
  <c r="K27" i="5" s="1"/>
  <c r="H26" i="5"/>
  <c r="F26" i="5" s="1"/>
  <c r="K26" i="5" s="1"/>
  <c r="H25" i="5"/>
  <c r="F25" i="5" s="1"/>
  <c r="K25" i="5" s="1"/>
  <c r="H24" i="5"/>
  <c r="F24" i="5" s="1"/>
  <c r="K24" i="5" s="1"/>
  <c r="H23" i="5"/>
  <c r="F23" i="5"/>
  <c r="K23" i="5" s="1"/>
  <c r="H33" i="5"/>
  <c r="F33" i="5" s="1"/>
  <c r="K33" i="5" s="1"/>
  <c r="K66" i="5" s="1"/>
  <c r="H46" i="5"/>
  <c r="F46" i="5" s="1"/>
  <c r="K46" i="5" s="1"/>
  <c r="K73" i="5" s="1"/>
  <c r="H56" i="5"/>
  <c r="F56" i="5"/>
  <c r="K56" i="5"/>
  <c r="H55" i="5"/>
  <c r="F55" i="5" s="1"/>
  <c r="K55" i="5" s="1"/>
  <c r="H54" i="5"/>
  <c r="F54" i="5" s="1"/>
  <c r="K54" i="5" s="1"/>
  <c r="H53" i="5"/>
  <c r="F53" i="5"/>
  <c r="K53" i="5" s="1"/>
  <c r="H47" i="5"/>
  <c r="F47" i="5"/>
  <c r="K47" i="5"/>
  <c r="K74" i="5" s="1"/>
  <c r="H50" i="5"/>
  <c r="F50" i="5"/>
  <c r="K50" i="5"/>
  <c r="H49" i="5"/>
  <c r="F49" i="5"/>
  <c r="K49" i="5"/>
  <c r="H48" i="5"/>
  <c r="F48" i="5" s="1"/>
  <c r="K48" i="5" s="1"/>
  <c r="H42" i="5"/>
  <c r="F42" i="5" s="1"/>
  <c r="K42" i="5" s="1"/>
  <c r="K69" i="5" s="1"/>
  <c r="H32" i="5"/>
  <c r="F32" i="5"/>
  <c r="K32" i="5" s="1"/>
  <c r="K65" i="5" s="1"/>
  <c r="L77" i="6" s="1"/>
  <c r="H57" i="5"/>
  <c r="F57" i="5"/>
  <c r="K57" i="5" s="1"/>
  <c r="K79" i="5"/>
  <c r="L91" i="6" s="1"/>
  <c r="H52" i="5"/>
  <c r="F52" i="5" s="1"/>
  <c r="K52" i="5"/>
  <c r="K77" i="5"/>
  <c r="H51" i="5"/>
  <c r="F51" i="5" s="1"/>
  <c r="K51" i="5" s="1"/>
  <c r="K76" i="5" s="1"/>
  <c r="L88" i="6" s="1"/>
  <c r="H45" i="5"/>
  <c r="F45" i="5" s="1"/>
  <c r="K45" i="5" s="1"/>
  <c r="K72" i="5" s="1"/>
  <c r="L84" i="6" s="1"/>
  <c r="H44" i="5"/>
  <c r="F44" i="5" s="1"/>
  <c r="K44" i="5"/>
  <c r="K71" i="5" s="1"/>
  <c r="L83" i="6" s="1"/>
  <c r="H43" i="5"/>
  <c r="F43" i="5"/>
  <c r="K43" i="5"/>
  <c r="K70" i="5" s="1"/>
  <c r="H41" i="5"/>
  <c r="F41" i="5"/>
  <c r="K41" i="5" s="1"/>
  <c r="H31" i="5"/>
  <c r="F31" i="5" s="1"/>
  <c r="K31" i="5"/>
  <c r="K64" i="5" s="1"/>
  <c r="H20" i="5"/>
  <c r="F20" i="5" s="1"/>
  <c r="K20" i="5" s="1"/>
  <c r="H19" i="5"/>
  <c r="F19" i="5"/>
  <c r="K19" i="5" s="1"/>
  <c r="H14" i="5"/>
  <c r="F14" i="5" s="1"/>
  <c r="K14" i="5" s="1"/>
  <c r="H13" i="5"/>
  <c r="F13" i="5"/>
  <c r="K13" i="5" s="1"/>
  <c r="H12" i="5"/>
  <c r="F12" i="5" s="1"/>
  <c r="K12" i="5"/>
  <c r="H11" i="5"/>
  <c r="F11" i="5" s="1"/>
  <c r="K11" i="5" s="1"/>
  <c r="H18" i="5"/>
  <c r="F18" i="5"/>
  <c r="K18" i="5" s="1"/>
  <c r="H17" i="5"/>
  <c r="F17" i="5"/>
  <c r="K17" i="5"/>
  <c r="H10" i="5"/>
  <c r="F10" i="5" s="1"/>
  <c r="K10" i="5" s="1"/>
  <c r="K15" i="5" s="1"/>
  <c r="H9" i="5"/>
  <c r="F9" i="5"/>
  <c r="K9" i="5" s="1"/>
  <c r="G132" i="2"/>
  <c r="E132" i="2" s="1"/>
  <c r="E131" i="2"/>
  <c r="H130" i="2"/>
  <c r="G130" i="2"/>
  <c r="F130" i="2"/>
  <c r="E130" i="2" s="1"/>
  <c r="G129" i="2"/>
  <c r="E129" i="2"/>
  <c r="E128" i="2"/>
  <c r="F127" i="2"/>
  <c r="G126" i="2"/>
  <c r="E126" i="2"/>
  <c r="E125" i="2"/>
  <c r="H124" i="2"/>
  <c r="G124" i="2"/>
  <c r="F124" i="2"/>
  <c r="E124" i="2" s="1"/>
  <c r="E123" i="2"/>
  <c r="E122" i="2"/>
  <c r="H121" i="2"/>
  <c r="E121" i="2" s="1"/>
  <c r="G121" i="2"/>
  <c r="F121" i="2"/>
  <c r="G120" i="2"/>
  <c r="G118" i="2" s="1"/>
  <c r="E119" i="2"/>
  <c r="F118" i="2"/>
  <c r="G117" i="2"/>
  <c r="E117" i="2" s="1"/>
  <c r="E116" i="2"/>
  <c r="H115" i="2"/>
  <c r="F115" i="2"/>
  <c r="E114" i="2"/>
  <c r="E113" i="2"/>
  <c r="H112" i="2"/>
  <c r="G112" i="2"/>
  <c r="F112" i="2"/>
  <c r="E112" i="2" s="1"/>
  <c r="E111" i="2"/>
  <c r="E110" i="2"/>
  <c r="H109" i="2"/>
  <c r="G109" i="2"/>
  <c r="F109" i="2"/>
  <c r="E109" i="2" s="1"/>
  <c r="G108" i="2"/>
  <c r="E108" i="2" s="1"/>
  <c r="E107" i="2"/>
  <c r="H106" i="2"/>
  <c r="G106" i="2"/>
  <c r="F106" i="2"/>
  <c r="E105" i="2"/>
  <c r="E104" i="2"/>
  <c r="H103" i="2"/>
  <c r="E103" i="2" s="1"/>
  <c r="G103" i="2"/>
  <c r="F103" i="2"/>
  <c r="E102" i="2"/>
  <c r="E101" i="2"/>
  <c r="H100" i="2"/>
  <c r="G100" i="2"/>
  <c r="F100" i="2"/>
  <c r="E100" i="2" s="1"/>
  <c r="E99" i="2"/>
  <c r="E98" i="2"/>
  <c r="H97" i="2"/>
  <c r="G97" i="2"/>
  <c r="F97" i="2"/>
  <c r="G96" i="2"/>
  <c r="E96" i="2"/>
  <c r="G95" i="2"/>
  <c r="G94" i="2"/>
  <c r="H94" i="2"/>
  <c r="F94" i="2"/>
  <c r="G93" i="2"/>
  <c r="E93" i="2"/>
  <c r="E92" i="2"/>
  <c r="H91" i="2"/>
  <c r="E91" i="2" s="1"/>
  <c r="G91" i="2"/>
  <c r="F91" i="2"/>
  <c r="E90" i="2"/>
  <c r="E89" i="2"/>
  <c r="G88" i="2"/>
  <c r="F88" i="2"/>
  <c r="E88" i="2" s="1"/>
  <c r="G87" i="2"/>
  <c r="E87" i="2"/>
  <c r="G86" i="2"/>
  <c r="G85" i="2"/>
  <c r="E85" i="2" s="1"/>
  <c r="H85" i="2"/>
  <c r="F85" i="2"/>
  <c r="G84" i="2"/>
  <c r="E83" i="2"/>
  <c r="F82" i="2"/>
  <c r="H81" i="2"/>
  <c r="H135" i="2"/>
  <c r="F81" i="2"/>
  <c r="H80" i="2"/>
  <c r="H79" i="2" s="1"/>
  <c r="F80" i="2"/>
  <c r="F79" i="2" s="1"/>
  <c r="E74" i="2"/>
  <c r="E73" i="2"/>
  <c r="G72" i="2"/>
  <c r="F72" i="2"/>
  <c r="E72" i="2" s="1"/>
  <c r="E68" i="2"/>
  <c r="E67" i="2"/>
  <c r="G66" i="2"/>
  <c r="E66" i="2" s="1"/>
  <c r="F66" i="2"/>
  <c r="E65" i="2"/>
  <c r="E64" i="2"/>
  <c r="G63" i="2"/>
  <c r="E63" i="2" s="1"/>
  <c r="F63" i="2"/>
  <c r="E62" i="2"/>
  <c r="E61" i="2"/>
  <c r="G60" i="2"/>
  <c r="F60" i="2"/>
  <c r="E60" i="2"/>
  <c r="G59" i="2"/>
  <c r="E59" i="2" s="1"/>
  <c r="H58" i="2"/>
  <c r="H57" i="2"/>
  <c r="G58" i="2"/>
  <c r="G55" i="2" s="1"/>
  <c r="F58" i="2"/>
  <c r="H56" i="2"/>
  <c r="H77" i="2"/>
  <c r="F56" i="2"/>
  <c r="F77" i="2" s="1"/>
  <c r="E49" i="2"/>
  <c r="E48" i="2"/>
  <c r="H47" i="2"/>
  <c r="G47" i="2"/>
  <c r="F47" i="2"/>
  <c r="E47" i="2" s="1"/>
  <c r="H46" i="2"/>
  <c r="G46" i="2"/>
  <c r="F46" i="2"/>
  <c r="H45" i="2"/>
  <c r="G45" i="2"/>
  <c r="G44" i="2" s="1"/>
  <c r="F45" i="2"/>
  <c r="E45" i="2" s="1"/>
  <c r="E43" i="2"/>
  <c r="E42" i="2"/>
  <c r="H41" i="2"/>
  <c r="G41" i="2"/>
  <c r="F41" i="2"/>
  <c r="H40" i="2"/>
  <c r="G40" i="2"/>
  <c r="F40" i="2"/>
  <c r="F38" i="2" s="1"/>
  <c r="H39" i="2"/>
  <c r="G39" i="2"/>
  <c r="F39" i="2"/>
  <c r="G38" i="2"/>
  <c r="E37" i="2"/>
  <c r="E36" i="2"/>
  <c r="G35" i="2"/>
  <c r="F35" i="2"/>
  <c r="E35" i="2" s="1"/>
  <c r="E34" i="2"/>
  <c r="F33" i="2"/>
  <c r="E33" i="2" s="1"/>
  <c r="F24" i="2"/>
  <c r="G32" i="2"/>
  <c r="E31" i="2"/>
  <c r="E30" i="2"/>
  <c r="G29" i="2"/>
  <c r="E29" i="2" s="1"/>
  <c r="F29" i="2"/>
  <c r="E28" i="2"/>
  <c r="E27" i="2"/>
  <c r="H26" i="2"/>
  <c r="G26" i="2"/>
  <c r="F26" i="2"/>
  <c r="E26" i="2" s="1"/>
  <c r="H25" i="2"/>
  <c r="G25" i="2"/>
  <c r="F25" i="2"/>
  <c r="E25" i="2" s="1"/>
  <c r="H24" i="2"/>
  <c r="H23" i="2" s="1"/>
  <c r="G24" i="2"/>
  <c r="G23" i="2"/>
  <c r="G22" i="2"/>
  <c r="G20" i="2" s="1"/>
  <c r="E21" i="2"/>
  <c r="F20" i="2"/>
  <c r="E19" i="2"/>
  <c r="E18" i="2"/>
  <c r="G17" i="2"/>
  <c r="F17" i="2"/>
  <c r="E17" i="2"/>
  <c r="H13" i="2"/>
  <c r="H52" i="2" s="1"/>
  <c r="H138" i="2" s="1"/>
  <c r="F13" i="2"/>
  <c r="H12" i="2"/>
  <c r="H51" i="2" s="1"/>
  <c r="H50" i="2" s="1"/>
  <c r="G12" i="2"/>
  <c r="F12" i="2"/>
  <c r="H11" i="2"/>
  <c r="G80" i="2"/>
  <c r="G134" i="2" s="1"/>
  <c r="E86" i="2"/>
  <c r="E95" i="2"/>
  <c r="G132" i="1"/>
  <c r="G129" i="1"/>
  <c r="E129" i="1" s="1"/>
  <c r="G126" i="1"/>
  <c r="G120" i="1"/>
  <c r="G117" i="1"/>
  <c r="G108" i="1"/>
  <c r="G106" i="1"/>
  <c r="G96" i="1"/>
  <c r="G94" i="1"/>
  <c r="G87" i="1"/>
  <c r="E87" i="1" s="1"/>
  <c r="G84" i="1"/>
  <c r="G82" i="1" s="1"/>
  <c r="G95" i="1"/>
  <c r="G80" i="1" s="1"/>
  <c r="E95" i="1"/>
  <c r="G86" i="1"/>
  <c r="G85" i="1" s="1"/>
  <c r="G93" i="1"/>
  <c r="E93" i="1" s="1"/>
  <c r="G22" i="1"/>
  <c r="G20" i="1" s="1"/>
  <c r="F81" i="1"/>
  <c r="F135" i="1" s="1"/>
  <c r="E135" i="1" s="1"/>
  <c r="H81" i="1"/>
  <c r="H135" i="1"/>
  <c r="H80" i="1"/>
  <c r="F80" i="1"/>
  <c r="E131" i="1"/>
  <c r="E128" i="1"/>
  <c r="E125" i="1"/>
  <c r="E123" i="1"/>
  <c r="E122" i="1"/>
  <c r="E119" i="1"/>
  <c r="E116" i="1"/>
  <c r="E114" i="1"/>
  <c r="E113" i="1"/>
  <c r="E111" i="1"/>
  <c r="E110" i="1"/>
  <c r="E107" i="1"/>
  <c r="E105" i="1"/>
  <c r="E104" i="1"/>
  <c r="E102" i="1"/>
  <c r="E101" i="1"/>
  <c r="E99" i="1"/>
  <c r="E98" i="1"/>
  <c r="E96" i="1"/>
  <c r="E92" i="1"/>
  <c r="E90" i="1"/>
  <c r="E89" i="1"/>
  <c r="E86" i="1"/>
  <c r="E83" i="1"/>
  <c r="H130" i="1"/>
  <c r="F130" i="1"/>
  <c r="F127" i="1"/>
  <c r="H124" i="1"/>
  <c r="F124" i="1"/>
  <c r="H121" i="1"/>
  <c r="G121" i="1"/>
  <c r="F121" i="1"/>
  <c r="E121" i="1"/>
  <c r="F118" i="1"/>
  <c r="H115" i="1"/>
  <c r="F115" i="1"/>
  <c r="H112" i="1"/>
  <c r="G112" i="1"/>
  <c r="F112" i="1"/>
  <c r="H109" i="1"/>
  <c r="G109" i="1"/>
  <c r="F109" i="1"/>
  <c r="E109" i="1" s="1"/>
  <c r="H106" i="1"/>
  <c r="F106" i="1"/>
  <c r="E106" i="1"/>
  <c r="H103" i="1"/>
  <c r="G103" i="1"/>
  <c r="F103" i="1"/>
  <c r="E103" i="1"/>
  <c r="H100" i="1"/>
  <c r="G100" i="1"/>
  <c r="F100" i="1"/>
  <c r="E100" i="1"/>
  <c r="H97" i="1"/>
  <c r="G97" i="1"/>
  <c r="F97" i="1"/>
  <c r="E97" i="1"/>
  <c r="H94" i="1"/>
  <c r="F94" i="1"/>
  <c r="H91" i="1"/>
  <c r="F91" i="1"/>
  <c r="G88" i="1"/>
  <c r="E88" i="1" s="1"/>
  <c r="F88" i="1"/>
  <c r="H85" i="1"/>
  <c r="F85" i="1"/>
  <c r="F82" i="1"/>
  <c r="E82" i="1" s="1"/>
  <c r="G58" i="1"/>
  <c r="G55" i="1"/>
  <c r="G76" i="1" s="1"/>
  <c r="G75" i="1" s="1"/>
  <c r="H58" i="1"/>
  <c r="H57" i="1" s="1"/>
  <c r="G59" i="1"/>
  <c r="E59" i="1" s="1"/>
  <c r="F56" i="1"/>
  <c r="F77" i="1" s="1"/>
  <c r="F58" i="1"/>
  <c r="G72" i="1"/>
  <c r="F72" i="1"/>
  <c r="G66" i="1"/>
  <c r="F66" i="1"/>
  <c r="E66" i="1"/>
  <c r="G63" i="1"/>
  <c r="F63" i="1"/>
  <c r="G60" i="1"/>
  <c r="F60" i="1"/>
  <c r="E74" i="1"/>
  <c r="E73" i="1"/>
  <c r="E68" i="1"/>
  <c r="E67" i="1"/>
  <c r="E65" i="1"/>
  <c r="E64" i="1"/>
  <c r="E62" i="1"/>
  <c r="E61" i="1"/>
  <c r="F33" i="1"/>
  <c r="H13" i="1"/>
  <c r="H12" i="1"/>
  <c r="H11" i="1" s="1"/>
  <c r="G12" i="1"/>
  <c r="F13" i="1"/>
  <c r="F12" i="1"/>
  <c r="E12" i="1" s="1"/>
  <c r="H25" i="1"/>
  <c r="H24" i="1"/>
  <c r="H23" i="1"/>
  <c r="G24" i="1"/>
  <c r="G25" i="1"/>
  <c r="F25" i="1"/>
  <c r="F40" i="1"/>
  <c r="H40" i="1"/>
  <c r="G40" i="1"/>
  <c r="H39" i="1"/>
  <c r="H38" i="1"/>
  <c r="G39" i="1"/>
  <c r="F39" i="1"/>
  <c r="H46" i="1"/>
  <c r="G46" i="1"/>
  <c r="E46" i="1" s="1"/>
  <c r="F46" i="1"/>
  <c r="H45" i="1"/>
  <c r="H44" i="1"/>
  <c r="G45" i="1"/>
  <c r="E45" i="1" s="1"/>
  <c r="F45" i="1"/>
  <c r="H47" i="1"/>
  <c r="G47" i="1"/>
  <c r="F47" i="1"/>
  <c r="H41" i="1"/>
  <c r="G41" i="1"/>
  <c r="E41" i="1" s="1"/>
  <c r="F41" i="1"/>
  <c r="G35" i="1"/>
  <c r="F35" i="1"/>
  <c r="E35" i="1" s="1"/>
  <c r="G32" i="1"/>
  <c r="G29" i="1"/>
  <c r="F29" i="1"/>
  <c r="E29" i="1" s="1"/>
  <c r="H26" i="1"/>
  <c r="G26" i="1"/>
  <c r="F26" i="1"/>
  <c r="E26" i="1" s="1"/>
  <c r="F20" i="1"/>
  <c r="G17" i="1"/>
  <c r="F17" i="1"/>
  <c r="E17" i="1" s="1"/>
  <c r="E18" i="1"/>
  <c r="E19" i="1"/>
  <c r="E21" i="1"/>
  <c r="E27" i="1"/>
  <c r="E28" i="1"/>
  <c r="E30" i="1"/>
  <c r="E31" i="1"/>
  <c r="E33" i="1"/>
  <c r="E34" i="1"/>
  <c r="E36" i="1"/>
  <c r="E37" i="1"/>
  <c r="E42" i="1"/>
  <c r="E43" i="1"/>
  <c r="E48" i="1"/>
  <c r="E49" i="1"/>
  <c r="F11" i="1"/>
  <c r="F57" i="1"/>
  <c r="E94" i="1"/>
  <c r="H56" i="1"/>
  <c r="H77" i="1" s="1"/>
  <c r="K91" i="7"/>
  <c r="K101" i="7"/>
  <c r="L101" i="7" s="1"/>
  <c r="K75" i="6"/>
  <c r="L98" i="7"/>
  <c r="G89" i="9"/>
  <c r="L89" i="9" s="1"/>
  <c r="F44" i="1"/>
  <c r="G23" i="1"/>
  <c r="E39" i="1"/>
  <c r="K68" i="5"/>
  <c r="L80" i="6"/>
  <c r="K63" i="5"/>
  <c r="E84" i="1"/>
  <c r="H14" i="8"/>
  <c r="E16" i="8"/>
  <c r="G14" i="8"/>
  <c r="E22" i="8"/>
  <c r="L52" i="9"/>
  <c r="H133" i="8"/>
  <c r="H79" i="8"/>
  <c r="Q41" i="9"/>
  <c r="L105" i="9"/>
  <c r="M105" i="9" s="1"/>
  <c r="L53" i="9"/>
  <c r="N52" i="9"/>
  <c r="P52" i="9" s="1"/>
  <c r="Q76" i="9"/>
  <c r="L113" i="9"/>
  <c r="M113" i="9"/>
  <c r="L103" i="9"/>
  <c r="L109" i="9"/>
  <c r="M109" i="9"/>
  <c r="Q70" i="9"/>
  <c r="L111" i="9"/>
  <c r="M111" i="9"/>
  <c r="Q73" i="9"/>
  <c r="L106" i="9"/>
  <c r="M106" i="9" s="1"/>
  <c r="Q44" i="9"/>
  <c r="L114" i="9"/>
  <c r="M114" i="9"/>
  <c r="Q77" i="9"/>
  <c r="Q94" i="9"/>
  <c r="L119" i="9"/>
  <c r="M119" i="9"/>
  <c r="L107" i="9"/>
  <c r="M107" i="9" s="1"/>
  <c r="E103" i="8"/>
  <c r="E109" i="8"/>
  <c r="E124" i="8"/>
  <c r="E97" i="8"/>
  <c r="E127" i="8"/>
  <c r="E293" i="11"/>
  <c r="E344" i="11"/>
  <c r="E374" i="11"/>
  <c r="E222" i="11"/>
  <c r="H144" i="11"/>
  <c r="H135" i="11" s="1"/>
  <c r="G147" i="11"/>
  <c r="G138" i="11" s="1"/>
  <c r="F150" i="11"/>
  <c r="F141" i="11"/>
  <c r="G151" i="11"/>
  <c r="G142" i="11"/>
  <c r="G188" i="11"/>
  <c r="H191" i="11"/>
  <c r="E245" i="11"/>
  <c r="E268" i="11"/>
  <c r="E290" i="11"/>
  <c r="E356" i="11"/>
  <c r="H248" i="11"/>
  <c r="E248" i="11"/>
  <c r="E272" i="11"/>
  <c r="E308" i="11"/>
  <c r="E347" i="11"/>
  <c r="E311" i="11"/>
  <c r="G221" i="11"/>
  <c r="E365" i="11"/>
  <c r="E367" i="11"/>
  <c r="E364" i="11"/>
  <c r="E326" i="11"/>
  <c r="H329" i="11"/>
  <c r="E329" i="11" s="1"/>
  <c r="E322" i="11"/>
  <c r="E275" i="11"/>
  <c r="G266" i="11"/>
  <c r="E257" i="11"/>
  <c r="E239" i="11"/>
  <c r="E241" i="11"/>
  <c r="G236" i="11"/>
  <c r="E236" i="11" s="1"/>
  <c r="E232" i="11"/>
  <c r="F147" i="11"/>
  <c r="F138" i="11"/>
  <c r="H64" i="10"/>
  <c r="H63" i="10" s="1"/>
  <c r="H85" i="10"/>
  <c r="H84" i="10" s="1"/>
  <c r="E72" i="10"/>
  <c r="E75" i="10"/>
  <c r="E67" i="10"/>
  <c r="G65" i="10"/>
  <c r="E65" i="10"/>
  <c r="E69" i="10"/>
  <c r="H148" i="11"/>
  <c r="H139" i="11" s="1"/>
  <c r="F148" i="11"/>
  <c r="F139" i="11"/>
  <c r="H147" i="11"/>
  <c r="E147" i="11" s="1"/>
  <c r="G150" i="11"/>
  <c r="G141" i="11"/>
  <c r="H194" i="11"/>
  <c r="H188" i="11"/>
  <c r="E203" i="11"/>
  <c r="F194" i="11"/>
  <c r="G191" i="11"/>
  <c r="G194" i="11"/>
  <c r="E200" i="11"/>
  <c r="E161" i="11"/>
  <c r="E182" i="11"/>
  <c r="E164" i="11"/>
  <c r="E173" i="11"/>
  <c r="E176" i="11"/>
  <c r="H160" i="11"/>
  <c r="G155" i="11"/>
  <c r="H155" i="11"/>
  <c r="G158" i="11"/>
  <c r="E167" i="11"/>
  <c r="E159" i="11"/>
  <c r="E156" i="11"/>
  <c r="E157" i="11"/>
  <c r="F158" i="11"/>
  <c r="F155" i="11"/>
  <c r="F152" i="11"/>
  <c r="G76" i="8"/>
  <c r="F55" i="8"/>
  <c r="G85" i="10"/>
  <c r="G66" i="10"/>
  <c r="E66" i="10" s="1"/>
  <c r="F64" i="10"/>
  <c r="E64" i="10"/>
  <c r="F143" i="10"/>
  <c r="F142" i="10" s="1"/>
  <c r="F144" i="10"/>
  <c r="E49" i="10"/>
  <c r="E23" i="10"/>
  <c r="E26" i="10"/>
  <c r="E30" i="11"/>
  <c r="E41" i="11"/>
  <c r="E86" i="11"/>
  <c r="H32" i="11"/>
  <c r="E65" i="11"/>
  <c r="E74" i="11"/>
  <c r="E128" i="11"/>
  <c r="E33" i="11"/>
  <c r="G32" i="11"/>
  <c r="E102" i="11"/>
  <c r="E121" i="11"/>
  <c r="E131" i="11"/>
  <c r="E124" i="11"/>
  <c r="E123" i="11"/>
  <c r="G119" i="11"/>
  <c r="E120" i="11"/>
  <c r="G122" i="11"/>
  <c r="F104" i="11"/>
  <c r="E113" i="11"/>
  <c r="E115" i="11"/>
  <c r="E105" i="11"/>
  <c r="H106" i="11"/>
  <c r="H104" i="11"/>
  <c r="F101" i="11"/>
  <c r="E101" i="11" s="1"/>
  <c r="E112" i="11"/>
  <c r="G101" i="11"/>
  <c r="H103" i="11"/>
  <c r="E103" i="11"/>
  <c r="G104" i="11"/>
  <c r="E68" i="11"/>
  <c r="E77" i="11"/>
  <c r="E92" i="11"/>
  <c r="E95" i="11"/>
  <c r="F59" i="11"/>
  <c r="E87" i="11"/>
  <c r="H59" i="11"/>
  <c r="G59" i="11"/>
  <c r="E61" i="11"/>
  <c r="H56" i="11"/>
  <c r="E58" i="11"/>
  <c r="G56" i="11"/>
  <c r="E38" i="11"/>
  <c r="E34" i="11"/>
  <c r="E50" i="11"/>
  <c r="F32" i="11"/>
  <c r="E32" i="11" s="1"/>
  <c r="F29" i="11"/>
  <c r="G53" i="10"/>
  <c r="H53" i="10"/>
  <c r="E56" i="10"/>
  <c r="E62" i="11"/>
  <c r="E89" i="11"/>
  <c r="H53" i="11"/>
  <c r="G53" i="11"/>
  <c r="F116" i="11"/>
  <c r="E55" i="11"/>
  <c r="E99" i="11"/>
  <c r="G98" i="11"/>
  <c r="E55" i="10"/>
  <c r="E54" i="10"/>
  <c r="H19" i="10"/>
  <c r="H61" i="10" s="1"/>
  <c r="E125" i="11"/>
  <c r="F53" i="10"/>
  <c r="G107" i="11"/>
  <c r="F98" i="11"/>
  <c r="E48" i="10"/>
  <c r="F47" i="10"/>
  <c r="H20" i="10"/>
  <c r="E20" i="10" s="1"/>
  <c r="F19" i="10"/>
  <c r="F61" i="10" s="1"/>
  <c r="G29" i="10"/>
  <c r="E38" i="10"/>
  <c r="H29" i="10"/>
  <c r="E35" i="10"/>
  <c r="E41" i="10"/>
  <c r="G18" i="10"/>
  <c r="E32" i="10"/>
  <c r="E31" i="10"/>
  <c r="G233" i="11"/>
  <c r="E233" i="11"/>
  <c r="E242" i="11"/>
  <c r="G216" i="11"/>
  <c r="G152" i="11"/>
  <c r="E46" i="11"/>
  <c r="G28" i="11"/>
  <c r="G19" i="11" s="1"/>
  <c r="G251" i="11"/>
  <c r="E251" i="11"/>
  <c r="E287" i="11"/>
  <c r="G260" i="11"/>
  <c r="E260" i="11"/>
  <c r="E298" i="11"/>
  <c r="G52" i="8"/>
  <c r="E35" i="11"/>
  <c r="E71" i="11"/>
  <c r="N287" i="11"/>
  <c r="E314" i="11"/>
  <c r="E325" i="11"/>
  <c r="E334" i="11"/>
  <c r="H217" i="11"/>
  <c r="H208" i="11" s="1"/>
  <c r="G217" i="11"/>
  <c r="G208" i="11" s="1"/>
  <c r="E208" i="11" s="1"/>
  <c r="E341" i="11"/>
  <c r="H116" i="11"/>
  <c r="E116" i="11"/>
  <c r="F144" i="11"/>
  <c r="F135" i="11" s="1"/>
  <c r="F134" i="11" s="1"/>
  <c r="H296" i="11"/>
  <c r="N296" i="11"/>
  <c r="E359" i="11"/>
  <c r="E368" i="11"/>
  <c r="E269" i="11"/>
  <c r="E305" i="11"/>
  <c r="G145" i="11"/>
  <c r="G136" i="11" s="1"/>
  <c r="G379" i="11" s="1"/>
  <c r="E170" i="11"/>
  <c r="E197" i="11"/>
  <c r="E278" i="11"/>
  <c r="G116" i="11"/>
  <c r="E118" i="11"/>
  <c r="E262" i="11"/>
  <c r="N269" i="11"/>
  <c r="E117" i="11"/>
  <c r="G332" i="11"/>
  <c r="E332" i="11"/>
  <c r="G224" i="11"/>
  <c r="E224" i="11" s="1"/>
  <c r="E226" i="11"/>
  <c r="E235" i="11"/>
  <c r="E153" i="11"/>
  <c r="E27" i="11"/>
  <c r="G86" i="10"/>
  <c r="E86" i="10"/>
  <c r="G63" i="10"/>
  <c r="F54" i="8"/>
  <c r="G60" i="10"/>
  <c r="G59" i="10" s="1"/>
  <c r="G149" i="11"/>
  <c r="E25" i="1"/>
  <c r="F24" i="1"/>
  <c r="F23" i="1"/>
  <c r="E23" i="1" s="1"/>
  <c r="F32" i="1"/>
  <c r="E32" i="1" s="1"/>
  <c r="E63" i="1"/>
  <c r="G81" i="1"/>
  <c r="G115" i="1"/>
  <c r="E115" i="1" s="1"/>
  <c r="E117" i="1"/>
  <c r="L91" i="7"/>
  <c r="G56" i="1"/>
  <c r="E112" i="1"/>
  <c r="G118" i="1"/>
  <c r="E120" i="1"/>
  <c r="E85" i="1"/>
  <c r="E108" i="1"/>
  <c r="G91" i="1"/>
  <c r="E91" i="1" s="1"/>
  <c r="E126" i="1"/>
  <c r="G124" i="1"/>
  <c r="E124" i="1" s="1"/>
  <c r="F55" i="1"/>
  <c r="E58" i="1"/>
  <c r="F11" i="2"/>
  <c r="E11" i="2" s="1"/>
  <c r="H134" i="2"/>
  <c r="H133" i="2" s="1"/>
  <c r="F23" i="2"/>
  <c r="E23" i="2" s="1"/>
  <c r="G127" i="2"/>
  <c r="E127" i="2" s="1"/>
  <c r="G20" i="8"/>
  <c r="E20" i="8"/>
  <c r="E39" i="8"/>
  <c r="N305" i="11"/>
  <c r="H57" i="8"/>
  <c r="E57" i="8" s="1"/>
  <c r="G81" i="8"/>
  <c r="E81" i="8"/>
  <c r="E95" i="8"/>
  <c r="M116" i="9"/>
  <c r="N233" i="11"/>
  <c r="N278" i="11"/>
  <c r="N314" i="11"/>
  <c r="N251" i="11"/>
  <c r="H47" i="10"/>
  <c r="N260" i="11"/>
  <c r="N368" i="11"/>
  <c r="G22" i="10"/>
  <c r="G20" i="10" s="1"/>
  <c r="E52" i="10"/>
  <c r="G90" i="10"/>
  <c r="G144" i="10"/>
  <c r="E104" i="10"/>
  <c r="G136" i="10"/>
  <c r="E136" i="10"/>
  <c r="H28" i="11"/>
  <c r="H26" i="11"/>
  <c r="E84" i="11"/>
  <c r="E229" i="11"/>
  <c r="H304" i="11"/>
  <c r="E304" i="11" s="1"/>
  <c r="E337" i="11"/>
  <c r="E28" i="10"/>
  <c r="H50" i="10"/>
  <c r="E50" i="10" s="1"/>
  <c r="G89" i="10"/>
  <c r="G350" i="11"/>
  <c r="E350" i="11"/>
  <c r="E49" i="11"/>
  <c r="G77" i="1"/>
  <c r="E77" i="1" s="1"/>
  <c r="E56" i="1"/>
  <c r="E24" i="1"/>
  <c r="F51" i="1"/>
  <c r="G143" i="10"/>
  <c r="G142" i="10" s="1"/>
  <c r="H302" i="11"/>
  <c r="E302" i="11"/>
  <c r="G19" i="10"/>
  <c r="G61" i="10"/>
  <c r="G147" i="10" s="1"/>
  <c r="E22" i="10"/>
  <c r="F76" i="1"/>
  <c r="F137" i="1" s="1"/>
  <c r="F75" i="1"/>
  <c r="F54" i="1"/>
  <c r="G135" i="1"/>
  <c r="E143" i="10"/>
  <c r="G146" i="10"/>
  <c r="E20" i="1"/>
  <c r="L87" i="7"/>
  <c r="L89" i="6"/>
  <c r="M117" i="9"/>
  <c r="M112" i="9"/>
  <c r="K70" i="6"/>
  <c r="L99" i="7"/>
  <c r="G76" i="2"/>
  <c r="L78" i="6"/>
  <c r="F134" i="1"/>
  <c r="F79" i="1"/>
  <c r="G13" i="1"/>
  <c r="G52" i="1" s="1"/>
  <c r="G56" i="2"/>
  <c r="G77" i="2" s="1"/>
  <c r="G75" i="2" s="1"/>
  <c r="H44" i="2"/>
  <c r="E94" i="2"/>
  <c r="K78" i="5"/>
  <c r="L88" i="7"/>
  <c r="L92" i="7"/>
  <c r="L96" i="7"/>
  <c r="H18" i="10"/>
  <c r="E21" i="10"/>
  <c r="E20" i="2"/>
  <c r="E22" i="2"/>
  <c r="G13" i="2"/>
  <c r="E120" i="8"/>
  <c r="G118" i="8"/>
  <c r="E118" i="8" s="1"/>
  <c r="G135" i="8"/>
  <c r="M110" i="9"/>
  <c r="E46" i="8"/>
  <c r="E60" i="11"/>
  <c r="E148" i="11"/>
  <c r="F146" i="11"/>
  <c r="E40" i="1"/>
  <c r="F38" i="1"/>
  <c r="H134" i="1"/>
  <c r="H133" i="1" s="1"/>
  <c r="H79" i="1"/>
  <c r="E24" i="2"/>
  <c r="F51" i="2"/>
  <c r="H38" i="2"/>
  <c r="E40" i="2"/>
  <c r="E46" i="2"/>
  <c r="G57" i="2"/>
  <c r="F135" i="2"/>
  <c r="K75" i="5"/>
  <c r="H54" i="8"/>
  <c r="H76" i="8"/>
  <c r="H137" i="8" s="1"/>
  <c r="F77" i="8"/>
  <c r="E160" i="11"/>
  <c r="G146" i="11"/>
  <c r="E96" i="8"/>
  <c r="G94" i="8"/>
  <c r="E94" i="8" s="1"/>
  <c r="H51" i="1"/>
  <c r="E19" i="10"/>
  <c r="E81" i="1"/>
  <c r="H101" i="11"/>
  <c r="F85" i="10"/>
  <c r="F84" i="10" s="1"/>
  <c r="F63" i="10"/>
  <c r="E63" i="10" s="1"/>
  <c r="E22" i="1"/>
  <c r="E47" i="1"/>
  <c r="E60" i="1"/>
  <c r="E80" i="2"/>
  <c r="E39" i="2"/>
  <c r="E56" i="2"/>
  <c r="G115" i="2"/>
  <c r="E115" i="2"/>
  <c r="E118" i="2"/>
  <c r="L76" i="6"/>
  <c r="E12" i="2"/>
  <c r="F32" i="2"/>
  <c r="E32" i="2" s="1"/>
  <c r="H55" i="2"/>
  <c r="E84" i="2"/>
  <c r="H47" i="11"/>
  <c r="E82" i="8"/>
  <c r="F73" i="7"/>
  <c r="K73" i="7"/>
  <c r="K100" i="7" s="1"/>
  <c r="G12" i="8"/>
  <c r="G130" i="8"/>
  <c r="E130" i="8"/>
  <c r="E15" i="8"/>
  <c r="L85" i="9"/>
  <c r="E95" i="10"/>
  <c r="G94" i="10"/>
  <c r="E94" i="10"/>
  <c r="E100" i="10"/>
  <c r="E121" i="10"/>
  <c r="E126" i="10"/>
  <c r="G124" i="10"/>
  <c r="E124" i="10" s="1"/>
  <c r="G20" i="9"/>
  <c r="L20" i="9"/>
  <c r="E39" i="10"/>
  <c r="F30" i="10"/>
  <c r="F29" i="10" s="1"/>
  <c r="E29" i="10" s="1"/>
  <c r="G103" i="10"/>
  <c r="E103" i="10"/>
  <c r="E112" i="10"/>
  <c r="E117" i="10"/>
  <c r="G115" i="10"/>
  <c r="E115" i="10"/>
  <c r="G371" i="11"/>
  <c r="E371" i="11"/>
  <c r="E187" i="11"/>
  <c r="G145" i="10"/>
  <c r="H29" i="11"/>
  <c r="E85" i="10"/>
  <c r="F138" i="8"/>
  <c r="G52" i="2"/>
  <c r="E13" i="2"/>
  <c r="G11" i="2"/>
  <c r="E135" i="8"/>
  <c r="Q80" i="9"/>
  <c r="L115" i="9"/>
  <c r="M115" i="9" s="1"/>
  <c r="G51" i="8"/>
  <c r="G11" i="8"/>
  <c r="H54" i="2"/>
  <c r="H76" i="2"/>
  <c r="H75" i="8"/>
  <c r="H17" i="10"/>
  <c r="H60" i="10"/>
  <c r="H59" i="10" s="1"/>
  <c r="F133" i="1"/>
  <c r="G54" i="2"/>
  <c r="H75" i="2"/>
  <c r="H137" i="2"/>
  <c r="H136" i="2" s="1"/>
  <c r="G50" i="8"/>
  <c r="H146" i="10"/>
  <c r="G138" i="1"/>
  <c r="E59" i="11"/>
  <c r="G21" i="11"/>
  <c r="K16" i="7"/>
  <c r="E340" i="11"/>
  <c r="H338" i="11"/>
  <c r="E338" i="11"/>
  <c r="E216" i="11"/>
  <c r="G207" i="11"/>
  <c r="G206" i="11"/>
  <c r="E155" i="11"/>
  <c r="F19" i="11"/>
  <c r="E237" i="11"/>
  <c r="E217" i="11"/>
  <c r="E28" i="11"/>
  <c r="H223" i="11"/>
  <c r="H214" i="11"/>
  <c r="H212" i="11"/>
  <c r="G26" i="11"/>
  <c r="E26" i="11" s="1"/>
  <c r="F218" i="11"/>
  <c r="F210" i="11"/>
  <c r="F209" i="11"/>
  <c r="G353" i="11"/>
  <c r="E353" i="11" s="1"/>
  <c r="F80" i="11"/>
  <c r="E80" i="11"/>
  <c r="G47" i="11"/>
  <c r="E47" i="11" s="1"/>
  <c r="E106" i="11"/>
  <c r="H215" i="11"/>
  <c r="F215" i="11"/>
  <c r="G25" i="11"/>
  <c r="E83" i="11"/>
  <c r="G254" i="11"/>
  <c r="E254" i="11" s="1"/>
  <c r="H18" i="11"/>
  <c r="H24" i="11"/>
  <c r="G220" i="11"/>
  <c r="G218" i="11" s="1"/>
  <c r="F22" i="11"/>
  <c r="F382" i="11"/>
  <c r="F25" i="11"/>
  <c r="E230" i="11"/>
  <c r="E281" i="11"/>
  <c r="G24" i="11"/>
  <c r="G23" i="11" s="1"/>
  <c r="F191" i="11"/>
  <c r="H119" i="11"/>
  <c r="F122" i="11"/>
  <c r="G18" i="11"/>
  <c r="F119" i="11"/>
  <c r="H122" i="11"/>
  <c r="E122" i="11"/>
  <c r="F24" i="11"/>
  <c r="H25" i="11"/>
  <c r="H22" i="11"/>
  <c r="H98" i="11"/>
  <c r="E98" i="11" s="1"/>
  <c r="E100" i="11"/>
  <c r="H107" i="11"/>
  <c r="E107" i="11"/>
  <c r="G263" i="11"/>
  <c r="H299" i="11"/>
  <c r="E299" i="11"/>
  <c r="H220" i="11"/>
  <c r="H211" i="11" s="1"/>
  <c r="F26" i="11"/>
  <c r="H19" i="11"/>
  <c r="E19" i="11" s="1"/>
  <c r="H17" i="11"/>
  <c r="Q10" i="9"/>
  <c r="Q9" i="9"/>
  <c r="L18" i="9"/>
  <c r="Q14" i="9"/>
  <c r="L25" i="9"/>
  <c r="Q20" i="9"/>
  <c r="E223" i="11"/>
  <c r="H221" i="11"/>
  <c r="E119" i="11"/>
  <c r="H218" i="11"/>
  <c r="E284" i="11"/>
  <c r="E335" i="11"/>
  <c r="E110" i="11"/>
  <c r="E104" i="11"/>
  <c r="E25" i="11"/>
  <c r="H23" i="11"/>
  <c r="G17" i="11"/>
  <c r="H21" i="11"/>
  <c r="E296" i="11"/>
  <c r="E221" i="11"/>
  <c r="E266" i="11"/>
  <c r="E286" i="11"/>
  <c r="E220" i="11"/>
  <c r="G385" i="11"/>
  <c r="F213" i="11"/>
  <c r="E213" i="11" s="1"/>
  <c r="F384" i="11"/>
  <c r="F136" i="11"/>
  <c r="F143" i="11"/>
  <c r="F142" i="11"/>
  <c r="F140" i="11" s="1"/>
  <c r="F149" i="11"/>
  <c r="E207" i="11"/>
  <c r="F206" i="11"/>
  <c r="E150" i="11"/>
  <c r="H141" i="11"/>
  <c r="E214" i="11"/>
  <c r="F137" i="11"/>
  <c r="H206" i="11"/>
  <c r="E144" i="11"/>
  <c r="G135" i="11"/>
  <c r="G134" i="11" s="1"/>
  <c r="G143" i="11"/>
  <c r="G212" i="11"/>
  <c r="E212" i="11" s="1"/>
  <c r="E323" i="11"/>
  <c r="N323" i="11"/>
  <c r="G29" i="11"/>
  <c r="E29" i="11" s="1"/>
  <c r="G22" i="11"/>
  <c r="E31" i="11"/>
  <c r="G210" i="11"/>
  <c r="E210" i="11" s="1"/>
  <c r="E219" i="11"/>
  <c r="H378" i="11"/>
  <c r="G140" i="11"/>
  <c r="F56" i="11"/>
  <c r="E56" i="11" s="1"/>
  <c r="F21" i="11"/>
  <c r="E57" i="11"/>
  <c r="F379" i="11"/>
  <c r="H154" i="11"/>
  <c r="E154" i="11"/>
  <c r="F54" i="11"/>
  <c r="F53" i="11" s="1"/>
  <c r="H384" i="11"/>
  <c r="E206" i="11"/>
  <c r="E141" i="11"/>
  <c r="G378" i="11"/>
  <c r="G377" i="11"/>
  <c r="E53" i="11"/>
  <c r="F18" i="11"/>
  <c r="F17" i="11" s="1"/>
  <c r="E17" i="11" s="1"/>
  <c r="E54" i="11"/>
  <c r="E22" i="11"/>
  <c r="G20" i="11"/>
  <c r="E135" i="11"/>
  <c r="E21" i="11"/>
  <c r="F20" i="11"/>
  <c r="F381" i="11"/>
  <c r="F378" i="11"/>
  <c r="F377" i="11" s="1"/>
  <c r="E377" i="11" s="1"/>
  <c r="F380" i="11"/>
  <c r="E378" i="11"/>
  <c r="E139" i="11"/>
  <c r="H145" i="11"/>
  <c r="H152" i="11"/>
  <c r="E152" i="11"/>
  <c r="H136" i="11"/>
  <c r="E136" i="11" s="1"/>
  <c r="E145" i="11"/>
  <c r="H143" i="11"/>
  <c r="E143" i="11"/>
  <c r="H379" i="11"/>
  <c r="E379" i="11" s="1"/>
  <c r="H134" i="11"/>
  <c r="E134" i="11" s="1"/>
  <c r="H377" i="11"/>
  <c r="H209" i="11" l="1"/>
  <c r="H382" i="11"/>
  <c r="E18" i="11"/>
  <c r="G384" i="11"/>
  <c r="H20" i="11"/>
  <c r="E20" i="11" s="1"/>
  <c r="E24" i="11"/>
  <c r="F23" i="11"/>
  <c r="E23" i="11" s="1"/>
  <c r="F385" i="11"/>
  <c r="G211" i="11"/>
  <c r="K21" i="5"/>
  <c r="K59" i="5" s="1"/>
  <c r="E218" i="11"/>
  <c r="F18" i="10"/>
  <c r="E30" i="10"/>
  <c r="F147" i="10"/>
  <c r="E61" i="10"/>
  <c r="G381" i="11"/>
  <c r="G137" i="11"/>
  <c r="L118" i="9"/>
  <c r="Q89" i="9"/>
  <c r="L98" i="9"/>
  <c r="L99" i="9" s="1"/>
  <c r="G79" i="1"/>
  <c r="E79" i="1" s="1"/>
  <c r="G134" i="1"/>
  <c r="E80" i="1"/>
  <c r="E38" i="2"/>
  <c r="G11" i="1"/>
  <c r="E11" i="1" s="1"/>
  <c r="G215" i="11"/>
  <c r="E215" i="11" s="1"/>
  <c r="E89" i="10"/>
  <c r="G88" i="10"/>
  <c r="E53" i="10"/>
  <c r="G84" i="10"/>
  <c r="E84" i="10" s="1"/>
  <c r="F52" i="1"/>
  <c r="E13" i="1"/>
  <c r="H52" i="1"/>
  <c r="H55" i="1"/>
  <c r="F134" i="2"/>
  <c r="G51" i="2"/>
  <c r="F52" i="2"/>
  <c r="F50" i="2" s="1"/>
  <c r="E41" i="2"/>
  <c r="K67" i="5"/>
  <c r="K80" i="5" s="1"/>
  <c r="K90" i="6"/>
  <c r="L100" i="7" s="1"/>
  <c r="L86" i="7"/>
  <c r="E55" i="8"/>
  <c r="F76" i="8"/>
  <c r="F44" i="2"/>
  <c r="E44" i="2" s="1"/>
  <c r="M103" i="9"/>
  <c r="L75" i="6"/>
  <c r="G127" i="1"/>
  <c r="E127" i="1" s="1"/>
  <c r="G51" i="1"/>
  <c r="G44" i="1"/>
  <c r="E44" i="1" s="1"/>
  <c r="G38" i="1"/>
  <c r="E38" i="1" s="1"/>
  <c r="E72" i="1"/>
  <c r="G57" i="1"/>
  <c r="E120" i="2"/>
  <c r="F57" i="2"/>
  <c r="E57" i="2" s="1"/>
  <c r="F55" i="2"/>
  <c r="E58" i="2"/>
  <c r="E97" i="2"/>
  <c r="E106" i="2"/>
  <c r="K21" i="6"/>
  <c r="L82" i="6"/>
  <c r="L85" i="6"/>
  <c r="K22" i="7"/>
  <c r="K89" i="7"/>
  <c r="L89" i="7" s="1"/>
  <c r="L95" i="7"/>
  <c r="H138" i="11"/>
  <c r="H381" i="11" s="1"/>
  <c r="H380" i="11" s="1"/>
  <c r="H146" i="11"/>
  <c r="E146" i="11" s="1"/>
  <c r="E57" i="1"/>
  <c r="E118" i="1"/>
  <c r="E77" i="2"/>
  <c r="K58" i="5"/>
  <c r="K15" i="6"/>
  <c r="L81" i="6"/>
  <c r="L87" i="6"/>
  <c r="G17" i="10"/>
  <c r="H151" i="11"/>
  <c r="H158" i="11"/>
  <c r="E158" i="11" s="1"/>
  <c r="G54" i="1"/>
  <c r="E132" i="1"/>
  <c r="G130" i="1"/>
  <c r="E130" i="1" s="1"/>
  <c r="G82" i="2"/>
  <c r="E82" i="2" s="1"/>
  <c r="G81" i="2"/>
  <c r="L79" i="6"/>
  <c r="L86" i="6"/>
  <c r="E86" i="8"/>
  <c r="G80" i="8"/>
  <c r="G85" i="8"/>
  <c r="E85" i="8" s="1"/>
  <c r="E112" i="8"/>
  <c r="F24" i="8"/>
  <c r="F12" i="8" s="1"/>
  <c r="E33" i="8"/>
  <c r="F32" i="8"/>
  <c r="E32" i="8" s="1"/>
  <c r="E88" i="8"/>
  <c r="Q45" i="9"/>
  <c r="N242" i="11"/>
  <c r="K85" i="7"/>
  <c r="G44" i="8"/>
  <c r="E44" i="8" s="1"/>
  <c r="F14" i="8"/>
  <c r="E14" i="8" s="1"/>
  <c r="E129" i="10"/>
  <c r="H90" i="10"/>
  <c r="H88" i="10" s="1"/>
  <c r="E35" i="8"/>
  <c r="E100" i="8"/>
  <c r="E121" i="8"/>
  <c r="H41" i="8"/>
  <c r="E41" i="8" s="1"/>
  <c r="H40" i="8"/>
  <c r="G47" i="10"/>
  <c r="E47" i="10" s="1"/>
  <c r="E106" i="10"/>
  <c r="E361" i="11"/>
  <c r="E72" i="8"/>
  <c r="G56" i="8"/>
  <c r="E59" i="8"/>
  <c r="E97" i="10"/>
  <c r="E130" i="10"/>
  <c r="E44" i="11"/>
  <c r="K69" i="7"/>
  <c r="K80" i="7" s="1"/>
  <c r="E91" i="10"/>
  <c r="E127" i="10"/>
  <c r="E109" i="11"/>
  <c r="H263" i="11"/>
  <c r="E263" i="11" s="1"/>
  <c r="F51" i="8" l="1"/>
  <c r="F11" i="8"/>
  <c r="E12" i="8"/>
  <c r="E54" i="1"/>
  <c r="G54" i="8"/>
  <c r="E54" i="8" s="1"/>
  <c r="G77" i="8"/>
  <c r="E56" i="8"/>
  <c r="L85" i="7"/>
  <c r="K102" i="7"/>
  <c r="K103" i="7" s="1"/>
  <c r="H142" i="11"/>
  <c r="E151" i="11"/>
  <c r="H149" i="11"/>
  <c r="E149" i="11" s="1"/>
  <c r="K81" i="7"/>
  <c r="K81" i="5"/>
  <c r="F133" i="2"/>
  <c r="E134" i="2"/>
  <c r="F138" i="1"/>
  <c r="E52" i="1"/>
  <c r="K71" i="6"/>
  <c r="K97" i="7"/>
  <c r="L97" i="7" s="1"/>
  <c r="H76" i="1"/>
  <c r="H54" i="1"/>
  <c r="E55" i="1"/>
  <c r="M118" i="9"/>
  <c r="L120" i="9"/>
  <c r="L121" i="9" s="1"/>
  <c r="H38" i="8"/>
  <c r="E38" i="8" s="1"/>
  <c r="E40" i="8"/>
  <c r="H13" i="8"/>
  <c r="E80" i="8"/>
  <c r="G79" i="8"/>
  <c r="E79" i="8" s="1"/>
  <c r="G134" i="8"/>
  <c r="G135" i="2"/>
  <c r="G79" i="2"/>
  <c r="E79" i="2" s="1"/>
  <c r="E81" i="2"/>
  <c r="G137" i="1"/>
  <c r="E51" i="1"/>
  <c r="G50" i="1"/>
  <c r="F138" i="2"/>
  <c r="E52" i="2"/>
  <c r="H138" i="1"/>
  <c r="H50" i="1"/>
  <c r="G133" i="1"/>
  <c r="E133" i="1" s="1"/>
  <c r="E134" i="1"/>
  <c r="E211" i="11"/>
  <c r="G382" i="11"/>
  <c r="E382" i="11" s="1"/>
  <c r="G209" i="11"/>
  <c r="E209" i="11" s="1"/>
  <c r="G383" i="11"/>
  <c r="E384" i="11"/>
  <c r="H144" i="10"/>
  <c r="E90" i="10"/>
  <c r="E24" i="8"/>
  <c r="F23" i="8"/>
  <c r="E23" i="8" s="1"/>
  <c r="E138" i="11"/>
  <c r="H137" i="11"/>
  <c r="E137" i="11" s="1"/>
  <c r="E55" i="2"/>
  <c r="F76" i="2"/>
  <c r="F54" i="2"/>
  <c r="E54" i="2" s="1"/>
  <c r="F75" i="8"/>
  <c r="E76" i="8"/>
  <c r="K92" i="6"/>
  <c r="K93" i="6" s="1"/>
  <c r="L90" i="6"/>
  <c r="G50" i="2"/>
  <c r="E50" i="2" s="1"/>
  <c r="G137" i="2"/>
  <c r="E51" i="2"/>
  <c r="E88" i="10"/>
  <c r="R99" i="9"/>
  <c r="L101" i="9"/>
  <c r="G380" i="11"/>
  <c r="E380" i="11" s="1"/>
  <c r="E381" i="11"/>
  <c r="F60" i="10"/>
  <c r="E18" i="10"/>
  <c r="F17" i="10"/>
  <c r="E17" i="10" s="1"/>
  <c r="F50" i="1"/>
  <c r="E50" i="1" s="1"/>
  <c r="F383" i="11"/>
  <c r="E134" i="8" l="1"/>
  <c r="G133" i="8"/>
  <c r="E133" i="8" s="1"/>
  <c r="G137" i="8"/>
  <c r="G136" i="8" s="1"/>
  <c r="K73" i="6"/>
  <c r="L71" i="6"/>
  <c r="H142" i="10"/>
  <c r="E142" i="10" s="1"/>
  <c r="E144" i="10"/>
  <c r="H147" i="10"/>
  <c r="H385" i="11"/>
  <c r="H140" i="11"/>
  <c r="E140" i="11" s="1"/>
  <c r="E142" i="11"/>
  <c r="E77" i="8"/>
  <c r="G138" i="8"/>
  <c r="G75" i="8"/>
  <c r="E75" i="8"/>
  <c r="G136" i="1"/>
  <c r="F75" i="2"/>
  <c r="E75" i="2" s="1"/>
  <c r="F137" i="2"/>
  <c r="E76" i="2"/>
  <c r="H75" i="1"/>
  <c r="E75" i="1" s="1"/>
  <c r="H137" i="1"/>
  <c r="H136" i="1" s="1"/>
  <c r="E76" i="1"/>
  <c r="E138" i="1"/>
  <c r="F136" i="1"/>
  <c r="L81" i="7"/>
  <c r="K83" i="7"/>
  <c r="E60" i="10"/>
  <c r="F146" i="10"/>
  <c r="F59" i="10"/>
  <c r="E59" i="10" s="1"/>
  <c r="M99" i="9"/>
  <c r="G136" i="2"/>
  <c r="E135" i="2"/>
  <c r="G133" i="2"/>
  <c r="E133" i="2" s="1"/>
  <c r="G138" i="2"/>
  <c r="E138" i="2" s="1"/>
  <c r="E13" i="8"/>
  <c r="H11" i="8"/>
  <c r="E11" i="8" s="1"/>
  <c r="H52" i="8"/>
  <c r="F137" i="8"/>
  <c r="E51" i="8"/>
  <c r="F50" i="8"/>
  <c r="E137" i="2" l="1"/>
  <c r="F136" i="2"/>
  <c r="E136" i="2" s="1"/>
  <c r="H50" i="8"/>
  <c r="H138" i="8"/>
  <c r="H136" i="8" s="1"/>
  <c r="N377" i="11" s="1"/>
  <c r="E52" i="8"/>
  <c r="E136" i="1"/>
  <c r="E137" i="1"/>
  <c r="E138" i="8"/>
  <c r="H383" i="11"/>
  <c r="E383" i="11" s="1"/>
  <c r="E385" i="11"/>
  <c r="H145" i="10"/>
  <c r="E147" i="10"/>
  <c r="F136" i="8"/>
  <c r="E137" i="8"/>
  <c r="E50" i="8"/>
  <c r="E146" i="10"/>
  <c r="F145" i="10"/>
  <c r="E145" i="10" l="1"/>
  <c r="E136" i="8"/>
</calcChain>
</file>

<file path=xl/comments1.xml><?xml version="1.0" encoding="utf-8"?>
<comments xmlns="http://schemas.openxmlformats.org/spreadsheetml/2006/main">
  <authors>
    <author>Автор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Предлагаю скрыть "нулевые строки" Порядоком по программам это допускается (Аналогично во всей таблице).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решению Совета депутатов от 20.06.2016 № 39 (Цст 0100120200)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решению Совета депутатов от 20.06.2016 № 39 (Цст 0100120210)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МАУ "Центр МТО" в 2014 году не существовал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? Соглашения с Минсоц развитием нет
</t>
        </r>
      </text>
    </comment>
    <comment ref="H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решению Совета депутатов от 20.06.2016 № 39 (Цст 0100320230)</t>
        </r>
      </text>
    </comment>
  </commentList>
</comments>
</file>

<file path=xl/sharedStrings.xml><?xml version="1.0" encoding="utf-8"?>
<sst xmlns="http://schemas.openxmlformats.org/spreadsheetml/2006/main" count="2759" uniqueCount="260">
  <si>
    <t>№ п/п</t>
  </si>
  <si>
    <t>Наименование</t>
  </si>
  <si>
    <t>Исполнители</t>
  </si>
  <si>
    <t>Источники финансирования</t>
  </si>
  <si>
    <t>Объем финансирования, руб.</t>
  </si>
  <si>
    <t>Показатели (индикаторы) результативности выполнения программных мероприятий</t>
  </si>
  <si>
    <t>Всего</t>
  </si>
  <si>
    <t>В том числе по годам:</t>
  </si>
  <si>
    <t>Ед. изм.</t>
  </si>
  <si>
    <t>%</t>
  </si>
  <si>
    <t>ОБ</t>
  </si>
  <si>
    <t>МБ</t>
  </si>
  <si>
    <t>Проведение конкурсов профессионального мастерства педагогических работников, научно -  практических конференций, семинаров различного уровня, направление победителей конкурсов для участия в региональных мероприятиях</t>
  </si>
  <si>
    <t>Доля педагогических и руководящих работников, прошедших курсовую профессиональную подготовку и (или) переподготовку для работы в соответствии с федеральными государственными образовательными стандартами</t>
  </si>
  <si>
    <t>Обеспечение повышения квалификации, подготовки и переподготовки работников образовательных организаций, в т.ч. медицинских работников, прохождение курсов в соответствии с требованиями надзорных органов; обеспечение участия работников образовательных организаций в профессиональных конференциях, семинарах и т.д. различного уровня</t>
  </si>
  <si>
    <t>МКУ «Управление образования»</t>
  </si>
  <si>
    <t>Количество педагогических работников, участников муниципальных профессиональных конкурсов</t>
  </si>
  <si>
    <t>Повышение эффективности и качества услуг в сфере образования</t>
  </si>
  <si>
    <t>Доля детей с ограниченными возможностями здоровья, прошедших обследование на ТПМПК, в общей численности нуждающихся в обследовании</t>
  </si>
  <si>
    <t>Введение 3 часа физической культуры</t>
  </si>
  <si>
    <t>Доля ообщеобразовательных организаций, обеспечивающих ведение 3 часа физкультуры</t>
  </si>
  <si>
    <t>Оснащение образовательных учреждений техническими средствами информатизации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</si>
  <si>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(приобретение оборудования, ремонт спортивных залов)</t>
  </si>
  <si>
    <t>Создание универсальной безбарьерной среды, позволяющей обеспечить полноценную интеграцию детей – инвалидов</t>
  </si>
  <si>
    <t>Количество образовательных организаций -  участников государственной программы "Доступная среда"</t>
  </si>
  <si>
    <t>Создание условий, позволяющих обеспечить полноценную интеграцию детей – инвалидов</t>
  </si>
  <si>
    <t>2.1.1.1</t>
  </si>
  <si>
    <t>в т.ч. выполнение соглашения с Министерством социального развития Мурманской области</t>
  </si>
  <si>
    <t>2.1.1.2</t>
  </si>
  <si>
    <t>в т.ч. выполнение соглашения с Министерством образования и науки Мурманской области</t>
  </si>
  <si>
    <t>Оснащение образовательных учреждений  специальным, в т.ч. учебным, реабилитационным, компьютерным оборудованием для организации обучения детей – инвалидов</t>
  </si>
  <si>
    <t>Доля образовательных учреждений, оснащенных   специальным, в т.ч. учебным, реабилитационным, компьютерным оборудованием для организации обучения детей – инвалидов</t>
  </si>
  <si>
    <t>Обеспечение безопасности образовательных организаций, охраны здоровья обучающихся и воспитанников в соответствии с федеральными требованиями</t>
  </si>
  <si>
    <t>Ремонт электр. оборудования</t>
  </si>
  <si>
    <t>Ремонт системы отопления</t>
  </si>
  <si>
    <t>Выполнение обязательных требований (ремонт и оснащение помещений образовательных организаций)</t>
  </si>
  <si>
    <t>Аварийный резерв</t>
  </si>
  <si>
    <t>Ремонт входной группы и замена козырьков зданий образовательных учреждений</t>
  </si>
  <si>
    <t>Благоустройство территорий (устройство веранд, малых форм)</t>
  </si>
  <si>
    <t>Замена лифта</t>
  </si>
  <si>
    <t>Установка, модернизация и ремонт ограждения территорий ОУ</t>
  </si>
  <si>
    <t>Установка охранной сигнализации</t>
  </si>
  <si>
    <t>Ремонт кровли, фасада</t>
  </si>
  <si>
    <t>Укрепление материально-технической базы образовательных учреждений</t>
  </si>
  <si>
    <t>ИТОГО ПО ПРОГРАММЕ «Развитие образования города Кировска на 2014 – 2016 годы»</t>
  </si>
  <si>
    <t>3. Перечень программных мероприятий</t>
  </si>
  <si>
    <t>Наименование мероприятия</t>
  </si>
  <si>
    <t>Цель: Обеспечение доступности качественного образования, соответствующего требованиям социально-ориентированного 
развития муниципального образования город Кировск</t>
  </si>
  <si>
    <t>1.1.1</t>
  </si>
  <si>
    <t>1.1.2</t>
  </si>
  <si>
    <t>1.2</t>
  </si>
  <si>
    <t>Обеспечение деятельности территориальной  психолого – медико – педагогической комиссии</t>
  </si>
  <si>
    <t>1.2.1</t>
  </si>
  <si>
    <t>1.2.2</t>
  </si>
  <si>
    <t>1.2.3</t>
  </si>
  <si>
    <t>1.2.4</t>
  </si>
  <si>
    <t>1.3</t>
  </si>
  <si>
    <t>1.3.1</t>
  </si>
  <si>
    <t>1.4</t>
  </si>
  <si>
    <t>1.4.1</t>
  </si>
  <si>
    <t>Итого по задаче 1:</t>
  </si>
  <si>
    <t>Повышение профессиональной компетенции работников образовательных организаций</t>
  </si>
  <si>
    <t>Укрепление материально – технической базы ЦДТ «Хибины»</t>
  </si>
  <si>
    <t xml:space="preserve">Укрепление материально – технической базы муниципальных дошкольных образовательных учреждений в целях реализации основных образовательных программ в соответствии с Федеральными государственными требованиями и в рамках реализации ФГОС </t>
  </si>
  <si>
    <t>Задача 2. Реализация государственной программы «Доступная среда»</t>
  </si>
  <si>
    <t>в т.ч. прочие расходы на реализацию государственной программы «Доступная среда»</t>
  </si>
  <si>
    <t>Задача 3. Обеспечение комплексной безопасности  образовательных организаций, охраны здоровья обучающихся и воспитанников</t>
  </si>
  <si>
    <t xml:space="preserve">Текущий ремонт эвакуационных выходов, путей эвакуации </t>
  </si>
  <si>
    <t xml:space="preserve">Обеспечение систем противопожарной защиты в помещениях образовательных учреждений </t>
  </si>
  <si>
    <t>Ремонт трубопроводов наружных тепловых сетей и сетей наружного водоснабжения</t>
  </si>
  <si>
    <t>Консервация зданий</t>
  </si>
  <si>
    <t>Итого по задаче 2:</t>
  </si>
  <si>
    <t>2.1.2</t>
  </si>
  <si>
    <t>2.1.1.3</t>
  </si>
  <si>
    <t>Итого по задаче 3:</t>
  </si>
  <si>
    <t>МКУ «Управление образования»;
образовательные учреждения</t>
  </si>
  <si>
    <t>МКУ «Управление образования»;
ТПМПК</t>
  </si>
  <si>
    <t>чел.</t>
  </si>
  <si>
    <t>ед.</t>
  </si>
  <si>
    <t>Доля образовательных учреждений в которых обеспечена работа систем противопожарной защиты</t>
  </si>
  <si>
    <t>Доля образовательных учреждений в которых произведен ремонт электрооборудования</t>
  </si>
  <si>
    <t>Доля образовательных учреждений в которых произведен ремонт системы отопления</t>
  </si>
  <si>
    <t>Доля образовательных учреждений в которых проведен текущий ремонт эвакуационных выходов путей эвакуации</t>
  </si>
  <si>
    <t>Доля образовательных учреждений в которых выполнены обязательные требования надзорных органов</t>
  </si>
  <si>
    <t>Доля образовательных учреждений в которых своевременно устранены аварийные ситуации</t>
  </si>
  <si>
    <t>Доля образовательных учреждений в которых произведен ремонт входной группы</t>
  </si>
  <si>
    <t>Доля дошкольных образовательных учреждений в которых благоустроена территория</t>
  </si>
  <si>
    <t>Доля образовательных учреждений в которых произведен ремонт наружных тепловых сетей и сетей наружного водоснабжения</t>
  </si>
  <si>
    <t>Доля образовательных учреждений в которых произведена замена лифтов</t>
  </si>
  <si>
    <t>Доля образовательных учреждений в которых произведен ремонт ограждения территории</t>
  </si>
  <si>
    <t>Доля образовательных учреждений в которых установлено видеонаблюдение</t>
  </si>
  <si>
    <t>Работы по консервации здания</t>
  </si>
  <si>
    <t>Доля образовательных учреждений в которых установлена охранная сигнализация</t>
  </si>
  <si>
    <t>-</t>
  </si>
  <si>
    <t>Доля образовательных учреждений в которых произведен ремонт кровли, фасада</t>
  </si>
  <si>
    <t>Доля приобретенного оборудования, направленная на совершенствование образовательного процесса</t>
  </si>
  <si>
    <t>Доля образовательнх учреждений, расположенных в сельской местности, имеющих удовлетворительные условия для занятий физической культурой и спортом</t>
  </si>
  <si>
    <t>Доля образовательных учреждений - учвастников мероприятия данной Программы</t>
  </si>
  <si>
    <t>4,2</t>
  </si>
  <si>
    <t>0</t>
  </si>
  <si>
    <t>Доля освоения выделенных средств</t>
  </si>
  <si>
    <t xml:space="preserve">не менее 95 </t>
  </si>
  <si>
    <t>не менее 95</t>
  </si>
  <si>
    <t>МАОУДОД "ЦДТ "Хибины"</t>
  </si>
  <si>
    <t>1.1</t>
  </si>
  <si>
    <t>2.1</t>
  </si>
  <si>
    <t>2.1.1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</si>
  <si>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</si>
  <si>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</si>
  <si>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</si>
  <si>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</si>
  <si>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</si>
  <si>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</si>
  <si>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</si>
  <si>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</si>
  <si>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</si>
  <si>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</si>
  <si>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</si>
  <si>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</si>
  <si>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</si>
  <si>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</si>
  <si>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</si>
  <si>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</si>
  <si>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</si>
  <si>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</si>
  <si>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Приложение к постановлению
администрации города Кировска
от ___________ № _________</t>
  </si>
  <si>
    <t>Установка  и ремонт видеонаблюдения</t>
  </si>
  <si>
    <t>Ремонт школьных столовых и пищеблоков, приобретение необходимого оборудования</t>
  </si>
  <si>
    <t>Доля образовательных учреждений в которых отремонтированы школьные столовые, пищеблоки, приобретено оборудование</t>
  </si>
  <si>
    <t>2.1.2.1</t>
  </si>
  <si>
    <t>Модернизация образования</t>
  </si>
  <si>
    <t>Задача 1. Модернизация образования в соответствии с требованиями действующего законодательства</t>
  </si>
  <si>
    <t>1</t>
  </si>
  <si>
    <t>Исполнитель мероприятия</t>
  </si>
  <si>
    <t>Центр МТО</t>
  </si>
  <si>
    <t>в т.ч. Исполнение мероприятий с привлечением сторонних (подрядных) организаций</t>
  </si>
  <si>
    <t>Итого</t>
  </si>
  <si>
    <t>в т.ч. 
материалы</t>
  </si>
  <si>
    <t>6 = 7 + 8</t>
  </si>
  <si>
    <t>МБДОУ № 1</t>
  </si>
  <si>
    <t>Замена старого линолеума на новый противопожарный линолеум с учетом плинтуса</t>
  </si>
  <si>
    <t>МБДОУ № 4</t>
  </si>
  <si>
    <t>МБДОУ № 5</t>
  </si>
  <si>
    <t>Ремонт системы вентиляции</t>
  </si>
  <si>
    <t>Замена старых межэтажных дверных блоков на новые межэтажные дверные блоки из ПВХ-профиля с учетом автоматического закрывания дверных полотен</t>
  </si>
  <si>
    <t>МБДОУ № 10</t>
  </si>
  <si>
    <t>Ремонт и восстановление герметизации стыков наружных панельных стен здания</t>
  </si>
  <si>
    <t xml:space="preserve">Установка (монтаж) козырька и крыльца входа с учетом демонтажа крыльца и ступеней </t>
  </si>
  <si>
    <t>МБДОУ № 12</t>
  </si>
  <si>
    <t>Установка системы видеонаблюдения</t>
  </si>
  <si>
    <t>МБДОУ № 14</t>
  </si>
  <si>
    <t>МБДОУ № 57</t>
  </si>
  <si>
    <t xml:space="preserve">Частичная замена ограждения по периметру здания </t>
  </si>
  <si>
    <t>Ремонт входной группы (устройство козырька) здания</t>
  </si>
  <si>
    <t>СОШ №2</t>
  </si>
  <si>
    <t>Ремонт двух помещений на третьем этаже в здании МБОУ "СОШ №2" по адресу: 
г. Кировск, ул. Кирова, д.27 А</t>
  </si>
  <si>
    <t>СОШ № 5</t>
  </si>
  <si>
    <t>Перепланировка помещения под медицинский блок</t>
  </si>
  <si>
    <t>СОШ № 7</t>
  </si>
  <si>
    <t>Обезопашивание и частичный ремонт фасада</t>
  </si>
  <si>
    <t>Установка на трубопроводы системы отопления кранов шаровых на втором и третьем этажах здания МБОУ "СОШ  № 7 г.Кировска", расположенного по адресу: г. Кировск, ул. Мира, д. 11</t>
  </si>
  <si>
    <t>Ремонт пола в помещении № 19 (по техническому паспорту) на первом этаже здания МБОУ "СОШ  № 7 г.Кировска", расположенного по адресу: г. Кировск, ул. Мира, д. 11</t>
  </si>
  <si>
    <t>Восстановительные работы асфальтобетонного покрытия дороги и тротуара вокруг здания МБОУ "СОШ  № 7 г.Кировска", расположенного по адресу: г. Кировск, ул. Мира , д.11</t>
  </si>
  <si>
    <t>Замена светильников в здании пристройки МБОУ "СОШ  № 7 г.Кировска", расположенной по адресу: г. Кировск, пр. Ленина , д.25</t>
  </si>
  <si>
    <t>ООШ № 8</t>
  </si>
  <si>
    <t>Ремонт кирпичных вентшахт, примыкающих к наружным стенам здания</t>
  </si>
  <si>
    <t>Ремонт помещений лестничного пролета здания, н.п. Титан 15</t>
  </si>
  <si>
    <t>Хибинская гимназия</t>
  </si>
  <si>
    <t>Ремонт и замена ж/бетонных ступеней шести лестничных пролётов</t>
  </si>
  <si>
    <t>ЦДТ "Хибины"</t>
  </si>
  <si>
    <t>Ремонт помещений тренажерного зала  МАУ ДОД ЦДТ "Хибины", расположенного по адресу:  г. Кировска, ул. Советская, д. 8</t>
  </si>
  <si>
    <t>Ремонт помещений тенисного зала (помещения 2 этажа №2,3,4)  МАУ ДОД ЦДТ "Хибины", расположенного по адресу:  г. Кировска, ул. Советская, д. 8</t>
  </si>
  <si>
    <t xml:space="preserve">Перечень мероприятий для включения МП "Развитие образования г.Кировска" на 2016 год </t>
  </si>
  <si>
    <t>Учреждение</t>
  </si>
  <si>
    <t>Наименование работ, услуг</t>
  </si>
  <si>
    <t>Итого расходы на реализацию мероприятий</t>
  </si>
  <si>
    <t>Учреждения образования</t>
  </si>
  <si>
    <t>Итого расходы Центра МТО</t>
  </si>
  <si>
    <t>в т.ч. Исполнение мероприятий Центром МТО (65% сметы)</t>
  </si>
  <si>
    <t>в т.ч. 
оплата труда с начислениями</t>
  </si>
  <si>
    <t>8 = 9 + 10</t>
  </si>
  <si>
    <t>11 = 5 + 6</t>
  </si>
  <si>
    <t>Задача 3. Обеспечение комплексной безопасности образовательных организаций, охраны здоровья обучающихся и воспитанников города Кировска</t>
  </si>
  <si>
    <t>Приобретение медицинского оборудования, материалов</t>
  </si>
  <si>
    <t>Приобретение технологического оборудования для столовой (пекарный шкаф)</t>
  </si>
  <si>
    <t>Приобретение шкафа холодильного</t>
  </si>
  <si>
    <t>х</t>
  </si>
  <si>
    <t>Задача 1. Модернизация образования</t>
  </si>
  <si>
    <t>Приобретение средств реабилитации и коррекции для детей-инвалидов, обучающихся в МДОУ</t>
  </si>
  <si>
    <t>Укрепление материально-технической базы ЦДТ "Хибины"</t>
  </si>
  <si>
    <t>Приобретение МФУ и тонер-картриджей для оснащения кабинетов задействованных в проведении экзаменов ЕГЭ</t>
  </si>
  <si>
    <t>Приобретение компьютерной техники для реализации физико-математического профиля и участия ресурсного центра города в лабораториях Глобал Лаб, Школьной лиги Роснано</t>
  </si>
  <si>
    <t>ДОУ</t>
  </si>
  <si>
    <t>ДОУ, СОШ, ЦДТ</t>
  </si>
  <si>
    <t>КОКиС</t>
  </si>
  <si>
    <t>ИТОГО по задаче 1:</t>
  </si>
  <si>
    <t xml:space="preserve">Приобретение сенсорного оборудования </t>
  </si>
  <si>
    <t>Ремонт фойе в здании МБОУ "СОШ №2" по адресу: 
г. Кировск, ул. Кирова, д.27 А</t>
  </si>
  <si>
    <t>ИТОГО по задаче 2:</t>
  </si>
  <si>
    <t>ИТОГО по задаче 3:</t>
  </si>
  <si>
    <t>ИТОГО по программе:</t>
  </si>
  <si>
    <t>Комплектование мед. кабинетов  (ДОУ 1, 36,54)</t>
  </si>
  <si>
    <t>Разработка проектной документации по оборудованию входа для МГН (ДОУ 10)</t>
  </si>
  <si>
    <t>Оборудование вытяжными системами вентиляции (ДОУ 54)</t>
  </si>
  <si>
    <t>Комплектование мед. кабинетов  (ДОУ 16)</t>
  </si>
  <si>
    <t xml:space="preserve">Приобретение светильников ЛПО потолочных, светильников с зеркальными отражателями для классных досок и ламп ЛПО в МБОУ «СОШ №7» </t>
  </si>
  <si>
    <t xml:space="preserve">Приобретение пароконвекторов и гастроемкостей для пищеблоков  в МБОУ «СОШ №7» </t>
  </si>
  <si>
    <t xml:space="preserve">Приобретение столового варочного (водонагревательного) котла в МБОУ«Хибинская гимназия» </t>
  </si>
  <si>
    <t xml:space="preserve">Приобретение бытовых ванн в МБОУ «Хибинская гимназия» </t>
  </si>
  <si>
    <t>Приобретение фотолюминесцентных лент  в МБОУ  «Хибинская гимназия»</t>
  </si>
  <si>
    <t>МБДОУ № 54</t>
  </si>
  <si>
    <t>Замена линолеума на противопожарный (ДОУ 13)</t>
  </si>
  <si>
    <t>Замена деревянные дверных блоков в кладовых помещениях на металлические противопожарные (ДОУ 18)</t>
  </si>
  <si>
    <t>Приобретение и замена противопожарных дверей (МБОУ "Хибинская гимназия")</t>
  </si>
  <si>
    <t>МБДОУ № 18</t>
  </si>
  <si>
    <t>МБДОУ № 13</t>
  </si>
  <si>
    <t>Проведение испытания электрозащитных средств</t>
  </si>
  <si>
    <t>Ремонт вентиляции (СОШ 5, 8)</t>
  </si>
  <si>
    <t>Ремонт 310 кабинета (СОШ 5, шахматный клуб)</t>
  </si>
  <si>
    <t>Приобретения противопожарного линолеума с более высокой пожарной опасностью</t>
  </si>
  <si>
    <t>Приобретение сканера для проведения единого государственного экзамена в МБОУ «СОШ №5» с использованием технологий печати КИМ и технологии перевода бланков ответов участников в электронный вид (аудитории пункта проведения экзамена должны быть оснащены специализированным оборудованием, согласно письму Министерства образования и науки, Мурманской области).</t>
  </si>
  <si>
    <t>Приобретение посуды для организации питания (МБОУ "Хибинская гимназия", МБОУ "СОШ №2", МБОУ "СОШ №5", МБОУ "СОШ №7")</t>
  </si>
  <si>
    <t xml:space="preserve">Косметическй ремонт школьных столовых для выполнения санитарно-эпидемиологических требований (МБОУ «СОШ №2», МБОУ «СОШ №7», МБОУ «ООШ №8», МБОУ «СОШ №10»)
</t>
  </si>
  <si>
    <t>Ремонтные работы (ревизия) системы вентиляции (МБОУ «СОШ №5»,  МБОУ «ООШ №8»)</t>
  </si>
  <si>
    <t>Разработка проектной документации по перепланировке объекта МАОДО ЦДТ «Хибины», расположенного по адресу: г. Кировск, ул. Советская, д. 8.</t>
  </si>
  <si>
    <t>Оплата по договору № 24/15 от 14.09.15г. За устранение утечки водопроводной сети по ул. Мира, д. 11 (МБОУ "СОШ №7)</t>
  </si>
  <si>
    <t>Проведение общестроительных работ (МБОУ "СОШ № 5")</t>
  </si>
  <si>
    <t>СОШ № 2</t>
  </si>
  <si>
    <t xml:space="preserve">Приобретение строительных материалов для установки (монтажа) козырька и крыльца входа с пандусом для доступа маломобильных групп населения </t>
  </si>
  <si>
    <t>СОШ № 10</t>
  </si>
  <si>
    <t>Приобретение и мотаж системы видеонаблюдения</t>
  </si>
  <si>
    <t>МБДОУ № 36</t>
  </si>
  <si>
    <t>Ремонтные работы по смене трубопроводов водоснабжения</t>
  </si>
  <si>
    <t>Ремонт кровли</t>
  </si>
  <si>
    <t>МБДОУ № 21</t>
  </si>
  <si>
    <t xml:space="preserve">Прочистка системы вентиляции </t>
  </si>
  <si>
    <t>Ремонтные работы</t>
  </si>
  <si>
    <t>МАДОУ № 16</t>
  </si>
  <si>
    <t xml:space="preserve">Ремонт вентиляционной шахты, приямков и гидроизоляции стен над приямком здания МАОДО ЦДТ «Хибины» клуб «Юный техник» (ул. Дзержинского д. 9а) </t>
  </si>
  <si>
    <t xml:space="preserve">Косметический ремонт помещений цокольного этажа МАОДО ЦДТ «Хибины» клуб «Юный техник» (ул. Дзержинского д. 9а) </t>
  </si>
  <si>
    <t>335600 - экономия</t>
  </si>
  <si>
    <t>Приобретение светодиодных светильников для учебных кабинетов</t>
  </si>
  <si>
    <t>Приобретение ролл-штор для учебных кабинетов</t>
  </si>
  <si>
    <t xml:space="preserve"> Приобретение детских кроватей</t>
  </si>
  <si>
    <t>СОШ №7</t>
  </si>
  <si>
    <t>Приобретение и установка сантехнических перегородк в туалетах</t>
  </si>
  <si>
    <t>отсюда сняла экономию</t>
  </si>
  <si>
    <t>Косметический ремонт Советская 8 (перераспределение денег с кровли) Совет июнь</t>
  </si>
  <si>
    <t>Приложение                                                            к постановлению                                                                    администрации города Кировска                             от __________ № ____________</t>
  </si>
  <si>
    <t>Таблица</t>
  </si>
  <si>
    <t>кадетский класс</t>
  </si>
  <si>
    <t>Задача: Развитие образования г. Кировска в соответствии с требованиями действующего законодательства</t>
  </si>
  <si>
    <t>Реализация государственной программы «Доступная среда»</t>
  </si>
  <si>
    <t>2</t>
  </si>
  <si>
    <t>Обеспечение комплексной безопасности  образовательных организаций, охраны здоровья обучающихся и воспитанников</t>
  </si>
  <si>
    <t>3</t>
  </si>
  <si>
    <t>МКУ "Управление образования"; КОК и С, образовательные учреждения</t>
  </si>
  <si>
    <t>МКУ "ЦМТО
МАУ "ЦМТО"</t>
  </si>
  <si>
    <t>__________________________</t>
  </si>
  <si>
    <r>
      <t>Приложение                                                            к постановлению                                                                    администрации города Кировска                             от __</t>
    </r>
    <r>
      <rPr>
        <u/>
        <sz val="14"/>
        <color indexed="8"/>
        <rFont val="Times New Roman"/>
        <family val="1"/>
        <charset val="204"/>
      </rPr>
      <t>06.07.2016</t>
    </r>
    <r>
      <rPr>
        <sz val="14"/>
        <color indexed="8"/>
        <rFont val="Times New Roman"/>
        <family val="1"/>
        <charset val="204"/>
      </rPr>
      <t>__ № _</t>
    </r>
    <r>
      <rPr>
        <u/>
        <sz val="14"/>
        <color indexed="8"/>
        <rFont val="Times New Roman"/>
        <family val="1"/>
        <charset val="204"/>
      </rPr>
      <t>912</t>
    </r>
    <r>
      <rPr>
        <sz val="14"/>
        <color indexed="8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</si>
</sst>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74" formatCode="#,##0.00_р_.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/>
    <xf numFmtId="0" fontId="23" fillId="0" borderId="0"/>
    <xf numFmtId="0" fontId="16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/>
    </xf>
    <xf numFmtId="0" fontId="5" fillId="0" borderId="0" xfId="0" applyFont="1" applyBorder="1"/>
    <xf numFmtId="49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/>
    <xf numFmtId="4" fontId="11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/>
    </xf>
    <xf numFmtId="0" fontId="24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justify" vertical="center" wrapText="1"/>
    </xf>
    <xf numFmtId="4" fontId="27" fillId="2" borderId="1" xfId="2" applyNumberFormat="1" applyFont="1" applyFill="1" applyBorder="1" applyAlignment="1">
      <alignment horizontal="right" vertical="center" wrapText="1"/>
    </xf>
    <xf numFmtId="4" fontId="25" fillId="0" borderId="1" xfId="2" applyNumberFormat="1" applyFont="1" applyFill="1" applyBorder="1" applyAlignment="1">
      <alignment horizontal="right" vertical="center" wrapText="1"/>
    </xf>
    <xf numFmtId="0" fontId="26" fillId="0" borderId="0" xfId="2" applyFont="1" applyFill="1" applyAlignment="1">
      <alignment horizontal="center" vertical="center" wrapText="1"/>
    </xf>
    <xf numFmtId="0" fontId="14" fillId="0" borderId="1" xfId="2" applyFont="1" applyFill="1" applyBorder="1" applyAlignment="1">
      <alignment horizontal="justify" vertical="center" wrapText="1"/>
    </xf>
    <xf numFmtId="0" fontId="24" fillId="0" borderId="0" xfId="2" applyFont="1" applyFill="1" applyAlignment="1">
      <alignment horizontal="justify" vertical="center" wrapText="1"/>
    </xf>
    <xf numFmtId="49" fontId="24" fillId="0" borderId="0" xfId="2" applyNumberFormat="1" applyFont="1" applyFill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174" fontId="25" fillId="0" borderId="1" xfId="2" applyNumberFormat="1" applyFont="1" applyFill="1" applyBorder="1" applyAlignment="1">
      <alignment horizontal="right" vertical="center" wrapText="1"/>
    </xf>
    <xf numFmtId="174" fontId="25" fillId="4" borderId="1" xfId="2" applyNumberFormat="1" applyFont="1" applyFill="1" applyBorder="1" applyAlignment="1">
      <alignment horizontal="right" vertical="center" wrapText="1"/>
    </xf>
    <xf numFmtId="174" fontId="24" fillId="3" borderId="1" xfId="2" applyNumberFormat="1" applyFont="1" applyFill="1" applyBorder="1" applyAlignment="1">
      <alignment horizontal="right" vertical="center" wrapText="1"/>
    </xf>
    <xf numFmtId="174" fontId="27" fillId="2" borderId="1" xfId="2" applyNumberFormat="1" applyFont="1" applyFill="1" applyBorder="1" applyAlignment="1">
      <alignment horizontal="right" vertical="center" wrapText="1"/>
    </xf>
    <xf numFmtId="174" fontId="15" fillId="0" borderId="1" xfId="2" applyNumberFormat="1" applyFont="1" applyFill="1" applyBorder="1" applyAlignment="1">
      <alignment horizontal="right" vertical="center" wrapText="1"/>
    </xf>
    <xf numFmtId="174" fontId="14" fillId="3" borderId="1" xfId="2" applyNumberFormat="1" applyFont="1" applyFill="1" applyBorder="1" applyAlignment="1">
      <alignment horizontal="right" vertical="center" wrapText="1"/>
    </xf>
    <xf numFmtId="174" fontId="13" fillId="2" borderId="1" xfId="2" applyNumberFormat="1" applyFont="1" applyFill="1" applyBorder="1" applyAlignment="1">
      <alignment horizontal="right" vertical="center" wrapText="1"/>
    </xf>
    <xf numFmtId="0" fontId="13" fillId="2" borderId="1" xfId="2" applyFont="1" applyFill="1" applyBorder="1" applyAlignment="1">
      <alignment horizontal="right" vertical="center" wrapText="1"/>
    </xf>
    <xf numFmtId="0" fontId="27" fillId="2" borderId="1" xfId="2" applyFont="1" applyFill="1" applyBorder="1" applyAlignment="1">
      <alignment horizontal="right" vertical="center" wrapText="1"/>
    </xf>
    <xf numFmtId="4" fontId="24" fillId="0" borderId="0" xfId="2" applyNumberFormat="1" applyFont="1" applyFill="1" applyAlignment="1">
      <alignment horizontal="right" vertical="center" wrapText="1"/>
    </xf>
    <xf numFmtId="4" fontId="24" fillId="0" borderId="0" xfId="2" applyNumberFormat="1" applyFont="1" applyFill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center" vertical="center" wrapText="1"/>
    </xf>
    <xf numFmtId="0" fontId="30" fillId="0" borderId="0" xfId="0" applyFont="1"/>
    <xf numFmtId="0" fontId="13" fillId="0" borderId="1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justify" vertical="top" wrapText="1"/>
    </xf>
    <xf numFmtId="0" fontId="24" fillId="5" borderId="1" xfId="2" applyFont="1" applyFill="1" applyBorder="1" applyAlignment="1">
      <alignment horizontal="justify" vertical="center" wrapText="1"/>
    </xf>
    <xf numFmtId="0" fontId="14" fillId="5" borderId="1" xfId="2" applyFont="1" applyFill="1" applyBorder="1" applyAlignment="1">
      <alignment horizontal="justify" vertical="center" wrapText="1"/>
    </xf>
    <xf numFmtId="4" fontId="25" fillId="0" borderId="0" xfId="2" applyNumberFormat="1" applyFont="1" applyFill="1" applyAlignment="1">
      <alignment horizontal="right" vertical="center" wrapText="1"/>
    </xf>
    <xf numFmtId="4" fontId="25" fillId="0" borderId="0" xfId="2" applyNumberFormat="1" applyFont="1" applyFill="1" applyAlignment="1">
      <alignment horizontal="center" vertical="center" wrapText="1"/>
    </xf>
    <xf numFmtId="4" fontId="24" fillId="0" borderId="1" xfId="2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0" fontId="25" fillId="0" borderId="1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justify" vertical="top" wrapText="1"/>
    </xf>
    <xf numFmtId="0" fontId="25" fillId="0" borderId="3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8" fillId="6" borderId="0" xfId="2" applyFont="1" applyFill="1" applyAlignment="1">
      <alignment horizontal="left" vertical="center" wrapText="1"/>
    </xf>
    <xf numFmtId="0" fontId="26" fillId="6" borderId="1" xfId="2" applyFont="1" applyFill="1" applyBorder="1" applyAlignment="1">
      <alignment horizontal="left" vertical="center" wrapText="1"/>
    </xf>
    <xf numFmtId="0" fontId="24" fillId="6" borderId="1" xfId="2" applyFont="1" applyFill="1" applyBorder="1" applyAlignment="1">
      <alignment horizontal="left" vertical="center" wrapText="1"/>
    </xf>
    <xf numFmtId="0" fontId="25" fillId="6" borderId="1" xfId="2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horizontal="left" vertical="center" wrapText="1"/>
    </xf>
    <xf numFmtId="0" fontId="24" fillId="6" borderId="0" xfId="2" applyFont="1" applyFill="1" applyAlignment="1">
      <alignment horizontal="left" vertical="center" wrapText="1"/>
    </xf>
    <xf numFmtId="0" fontId="24" fillId="7" borderId="1" xfId="2" applyFont="1" applyFill="1" applyBorder="1" applyAlignment="1">
      <alignment horizontal="left" vertical="center" wrapText="1"/>
    </xf>
    <xf numFmtId="174" fontId="25" fillId="0" borderId="0" xfId="2" applyNumberFormat="1" applyFont="1" applyFill="1" applyAlignment="1">
      <alignment horizontal="center" vertical="center" wrapText="1"/>
    </xf>
    <xf numFmtId="0" fontId="25" fillId="7" borderId="0" xfId="2" applyFont="1" applyFill="1" applyAlignment="1">
      <alignment horizontal="center" vertical="center" wrapText="1"/>
    </xf>
    <xf numFmtId="4" fontId="25" fillId="5" borderId="1" xfId="2" applyNumberFormat="1" applyFont="1" applyFill="1" applyBorder="1" applyAlignment="1">
      <alignment horizontal="right" vertical="center" wrapText="1"/>
    </xf>
    <xf numFmtId="174" fontId="25" fillId="5" borderId="1" xfId="2" applyNumberFormat="1" applyFont="1" applyFill="1" applyBorder="1" applyAlignment="1">
      <alignment horizontal="right" vertical="center" wrapText="1"/>
    </xf>
    <xf numFmtId="174" fontId="24" fillId="5" borderId="1" xfId="2" applyNumberFormat="1" applyFont="1" applyFill="1" applyBorder="1" applyAlignment="1">
      <alignment horizontal="right" vertical="center" wrapText="1"/>
    </xf>
    <xf numFmtId="4" fontId="25" fillId="7" borderId="1" xfId="2" applyNumberFormat="1" applyFont="1" applyFill="1" applyBorder="1" applyAlignment="1">
      <alignment horizontal="right" vertical="center" wrapText="1"/>
    </xf>
    <xf numFmtId="4" fontId="25" fillId="7" borderId="0" xfId="2" applyNumberFormat="1" applyFont="1" applyFill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5" fillId="0" borderId="0" xfId="2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25" fillId="0" borderId="0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6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4" fontId="5" fillId="0" borderId="0" xfId="0" applyNumberFormat="1" applyFont="1" applyFill="1"/>
    <xf numFmtId="49" fontId="5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8" fillId="0" borderId="0" xfId="2" applyFont="1" applyFill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 wrapText="1"/>
    </xf>
    <xf numFmtId="0" fontId="25" fillId="8" borderId="1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justify" vertical="center" wrapText="1"/>
    </xf>
    <xf numFmtId="0" fontId="25" fillId="0" borderId="1" xfId="2" applyFont="1" applyFill="1" applyBorder="1" applyAlignment="1">
      <alignment horizontal="right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justify" vertical="top" wrapText="1"/>
    </xf>
    <xf numFmtId="0" fontId="24" fillId="0" borderId="4" xfId="2" applyFont="1" applyFill="1" applyBorder="1" applyAlignment="1">
      <alignment horizontal="justify" vertical="top" wrapText="1"/>
    </xf>
    <xf numFmtId="0" fontId="24" fillId="0" borderId="3" xfId="2" applyFont="1" applyFill="1" applyBorder="1" applyAlignment="1">
      <alignment horizontal="justify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6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justify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5" fillId="0" borderId="7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lef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5" xfId="2" applyFont="1" applyFill="1" applyBorder="1" applyAlignment="1">
      <alignment horizontal="left" vertical="top" wrapText="1"/>
    </xf>
    <xf numFmtId="0" fontId="24" fillId="0" borderId="4" xfId="2" applyFont="1" applyFill="1" applyBorder="1" applyAlignment="1">
      <alignment horizontal="left" vertical="top" wrapText="1"/>
    </xf>
    <xf numFmtId="0" fontId="24" fillId="0" borderId="3" xfId="2" applyFont="1" applyFill="1" applyBorder="1" applyAlignment="1">
      <alignment horizontal="left" vertical="top" wrapText="1"/>
    </xf>
    <xf numFmtId="0" fontId="25" fillId="6" borderId="1" xfId="2" applyFont="1" applyFill="1" applyBorder="1" applyAlignment="1">
      <alignment horizontal="left" vertical="center" wrapText="1"/>
    </xf>
    <xf numFmtId="4" fontId="25" fillId="0" borderId="1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 2" xfId="2"/>
    <cellStyle name="Обычный 4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outlinePr summaryBelow="0" summaryRight="0"/>
  </sheetPr>
  <dimension ref="A1:IT215"/>
  <sheetViews>
    <sheetView zoomScale="85" zoomScaleNormal="85" workbookViewId="0">
      <pane ySplit="7" topLeftCell="A8" activePane="bottomLeft" state="frozen"/>
      <selection pane="bottomLeft" activeCell="B23" sqref="B23:B30"/>
    </sheetView>
  </sheetViews>
  <sheetFormatPr defaultRowHeight="15" outlineLevelCol="2" x14ac:dyDescent="0.25"/>
  <cols>
    <col min="1" max="1" width="4.140625" style="21" customWidth="1"/>
    <col min="2" max="2" width="41.28515625" style="21" customWidth="1"/>
    <col min="3" max="3" width="16" style="21" customWidth="1"/>
    <col min="4" max="4" width="46.85546875" style="21" customWidth="1"/>
    <col min="5" max="6" width="16.7109375" style="21" customWidth="1"/>
    <col min="7" max="7" width="20.140625" style="21" customWidth="1" outlineLevel="1"/>
    <col min="8" max="8" width="14.7109375" style="21" customWidth="1" outlineLevel="1" collapsed="1"/>
    <col min="9" max="10" width="14.7109375" style="21" hidden="1" customWidth="1" outlineLevel="2"/>
    <col min="11" max="11" width="18.28515625" style="21" customWidth="1"/>
    <col min="12" max="12" width="9.140625" style="21" customWidth="1"/>
    <col min="13" max="13" width="13.85546875" style="21" bestFit="1" customWidth="1"/>
    <col min="14" max="254" width="9.140625" style="21" customWidth="1"/>
  </cols>
  <sheetData>
    <row r="1" spans="1:254" ht="15.75" x14ac:dyDescent="0.25">
      <c r="A1" s="101" t="s">
        <v>172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54" ht="3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54" ht="15" customHeight="1" x14ac:dyDescent="0.25">
      <c r="A3" s="102" t="s">
        <v>0</v>
      </c>
      <c r="B3" s="102" t="s">
        <v>46</v>
      </c>
      <c r="C3" s="102" t="s">
        <v>173</v>
      </c>
      <c r="D3" s="102" t="s">
        <v>174</v>
      </c>
      <c r="E3" s="102" t="s">
        <v>133</v>
      </c>
      <c r="F3" s="102"/>
      <c r="G3" s="102"/>
      <c r="H3" s="102"/>
      <c r="I3" s="102"/>
      <c r="J3" s="102"/>
      <c r="K3" s="102" t="s">
        <v>175</v>
      </c>
    </row>
    <row r="4" spans="1:254" ht="12.75" customHeight="1" x14ac:dyDescent="0.25">
      <c r="A4" s="102"/>
      <c r="B4" s="102"/>
      <c r="C4" s="102"/>
      <c r="D4" s="102"/>
      <c r="E4" s="102" t="s">
        <v>176</v>
      </c>
      <c r="F4" s="103" t="s">
        <v>134</v>
      </c>
      <c r="G4" s="103"/>
      <c r="H4" s="103"/>
      <c r="I4" s="103"/>
      <c r="J4" s="103"/>
      <c r="K4" s="102"/>
    </row>
    <row r="5" spans="1:254" ht="25.5" customHeight="1" x14ac:dyDescent="0.25">
      <c r="A5" s="102"/>
      <c r="B5" s="102"/>
      <c r="C5" s="102"/>
      <c r="D5" s="102"/>
      <c r="E5" s="102"/>
      <c r="F5" s="104" t="s">
        <v>177</v>
      </c>
      <c r="G5" s="103" t="s">
        <v>135</v>
      </c>
      <c r="H5" s="103" t="s">
        <v>178</v>
      </c>
      <c r="I5" s="103"/>
      <c r="J5" s="103"/>
      <c r="K5" s="10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51" customHeight="1" x14ac:dyDescent="0.25">
      <c r="A6" s="102"/>
      <c r="B6" s="102"/>
      <c r="C6" s="102"/>
      <c r="D6" s="102"/>
      <c r="E6" s="102"/>
      <c r="F6" s="104"/>
      <c r="G6" s="103"/>
      <c r="H6" s="32" t="s">
        <v>136</v>
      </c>
      <c r="I6" s="33" t="s">
        <v>137</v>
      </c>
      <c r="J6" s="33" t="s">
        <v>179</v>
      </c>
      <c r="K6" s="10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x14ac:dyDescent="0.25">
      <c r="A7" s="46">
        <v>1</v>
      </c>
      <c r="B7" s="46"/>
      <c r="C7" s="46">
        <v>2</v>
      </c>
      <c r="D7" s="46">
        <v>3</v>
      </c>
      <c r="E7" s="46">
        <v>5</v>
      </c>
      <c r="F7" s="47" t="s">
        <v>138</v>
      </c>
      <c r="G7" s="23">
        <v>7</v>
      </c>
      <c r="H7" s="23" t="s">
        <v>180</v>
      </c>
      <c r="I7" s="23">
        <v>9</v>
      </c>
      <c r="J7" s="23">
        <v>10</v>
      </c>
      <c r="K7" s="46" t="s">
        <v>181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48" customFormat="1" ht="12.75" x14ac:dyDescent="0.2">
      <c r="A8" s="105" t="s">
        <v>187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48" customFormat="1" ht="25.5" x14ac:dyDescent="0.2">
      <c r="A9" s="34"/>
      <c r="B9" s="50" t="s">
        <v>61</v>
      </c>
      <c r="C9" s="49" t="s">
        <v>193</v>
      </c>
      <c r="D9" s="24" t="s">
        <v>61</v>
      </c>
      <c r="E9" s="35">
        <v>800000</v>
      </c>
      <c r="F9" s="36">
        <f t="shared" ref="F9:F14" si="0">SUM(G9:H9)</f>
        <v>0</v>
      </c>
      <c r="G9" s="37"/>
      <c r="H9" s="37">
        <f t="shared" ref="H9:H14" si="1">SUM(I9:J9)</f>
        <v>0</v>
      </c>
      <c r="I9" s="38"/>
      <c r="J9" s="25"/>
      <c r="K9" s="26">
        <f t="shared" ref="K9:K14" si="2">SUM(E9:F9)</f>
        <v>800000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48" customFormat="1" ht="25.5" x14ac:dyDescent="0.2">
      <c r="A10" s="108"/>
      <c r="B10" s="111" t="s">
        <v>17</v>
      </c>
      <c r="C10" s="49" t="s">
        <v>192</v>
      </c>
      <c r="D10" s="24" t="s">
        <v>188</v>
      </c>
      <c r="E10" s="35">
        <v>285000</v>
      </c>
      <c r="F10" s="36">
        <f t="shared" si="0"/>
        <v>0</v>
      </c>
      <c r="G10" s="37"/>
      <c r="H10" s="37">
        <f t="shared" si="1"/>
        <v>0</v>
      </c>
      <c r="I10" s="38"/>
      <c r="J10" s="25"/>
      <c r="K10" s="26">
        <f t="shared" si="2"/>
        <v>285000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48" customFormat="1" ht="25.5" x14ac:dyDescent="0.2">
      <c r="A11" s="109"/>
      <c r="B11" s="112"/>
      <c r="C11" s="49" t="s">
        <v>169</v>
      </c>
      <c r="D11" s="24" t="s">
        <v>189</v>
      </c>
      <c r="E11" s="35">
        <v>315990</v>
      </c>
      <c r="F11" s="36">
        <f t="shared" si="0"/>
        <v>0</v>
      </c>
      <c r="G11" s="37"/>
      <c r="H11" s="37">
        <f t="shared" si="1"/>
        <v>0</v>
      </c>
      <c r="I11" s="38"/>
      <c r="J11" s="25"/>
      <c r="K11" s="26">
        <f t="shared" si="2"/>
        <v>315990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48" customFormat="1" ht="25.5" x14ac:dyDescent="0.2">
      <c r="A12" s="110"/>
      <c r="B12" s="113"/>
      <c r="C12" s="49" t="s">
        <v>194</v>
      </c>
      <c r="D12" s="24" t="s">
        <v>51</v>
      </c>
      <c r="E12" s="35">
        <v>200000</v>
      </c>
      <c r="F12" s="36">
        <f t="shared" si="0"/>
        <v>0</v>
      </c>
      <c r="G12" s="37"/>
      <c r="H12" s="37">
        <f t="shared" si="1"/>
        <v>0</v>
      </c>
      <c r="I12" s="38"/>
      <c r="J12" s="25"/>
      <c r="K12" s="26">
        <f t="shared" si="2"/>
        <v>200000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48" customFormat="1" ht="38.25" x14ac:dyDescent="0.2">
      <c r="A13" s="108"/>
      <c r="B13" s="111" t="s">
        <v>21</v>
      </c>
      <c r="C13" s="49" t="s">
        <v>156</v>
      </c>
      <c r="D13" s="24" t="s">
        <v>190</v>
      </c>
      <c r="E13" s="35">
        <v>60000</v>
      </c>
      <c r="F13" s="36">
        <f t="shared" si="0"/>
        <v>0</v>
      </c>
      <c r="G13" s="37"/>
      <c r="H13" s="37">
        <f t="shared" si="1"/>
        <v>0</v>
      </c>
      <c r="I13" s="38"/>
      <c r="J13" s="25"/>
      <c r="K13" s="26">
        <f t="shared" si="2"/>
        <v>60000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48" customFormat="1" ht="51" x14ac:dyDescent="0.2">
      <c r="A14" s="110"/>
      <c r="B14" s="113"/>
      <c r="C14" s="49" t="s">
        <v>158</v>
      </c>
      <c r="D14" s="24" t="s">
        <v>191</v>
      </c>
      <c r="E14" s="35">
        <v>240000</v>
      </c>
      <c r="F14" s="36">
        <f t="shared" si="0"/>
        <v>0</v>
      </c>
      <c r="G14" s="37"/>
      <c r="H14" s="37">
        <f t="shared" si="1"/>
        <v>0</v>
      </c>
      <c r="I14" s="38"/>
      <c r="J14" s="25"/>
      <c r="K14" s="26">
        <f t="shared" si="2"/>
        <v>240000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48" customFormat="1" ht="12.75" x14ac:dyDescent="0.2">
      <c r="A15" s="107" t="s">
        <v>195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26">
        <f>SUM(K9:K14)</f>
        <v>1900990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48" customFormat="1" ht="12.75" x14ac:dyDescent="0.2">
      <c r="A16" s="105" t="s">
        <v>64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48" customFormat="1" ht="25.5" x14ac:dyDescent="0.2">
      <c r="A17" s="108"/>
      <c r="B17" s="111" t="s">
        <v>25</v>
      </c>
      <c r="C17" s="49" t="s">
        <v>154</v>
      </c>
      <c r="D17" s="24" t="s">
        <v>197</v>
      </c>
      <c r="E17" s="35"/>
      <c r="F17" s="36">
        <f>SUM(G17:H17)</f>
        <v>1488448.79</v>
      </c>
      <c r="G17" s="37">
        <v>1488448.79</v>
      </c>
      <c r="H17" s="37">
        <f>SUM(I17:J17)</f>
        <v>0</v>
      </c>
      <c r="I17" s="38"/>
      <c r="J17" s="25"/>
      <c r="K17" s="26">
        <f>SUM(E17:F17)+1.21</f>
        <v>1488450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48" customFormat="1" ht="38.25" x14ac:dyDescent="0.2">
      <c r="A18" s="109"/>
      <c r="B18" s="112"/>
      <c r="C18" s="49" t="s">
        <v>142</v>
      </c>
      <c r="D18" s="24" t="s">
        <v>144</v>
      </c>
      <c r="E18" s="35"/>
      <c r="F18" s="36">
        <f>SUM(G18:H18)</f>
        <v>106200</v>
      </c>
      <c r="G18" s="37">
        <v>106200</v>
      </c>
      <c r="H18" s="37">
        <f>SUM(I18:J18)</f>
        <v>0</v>
      </c>
      <c r="I18" s="38"/>
      <c r="J18" s="25"/>
      <c r="K18" s="26">
        <f>SUM(E18:F18)</f>
        <v>106200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48" customFormat="1" ht="25.5" x14ac:dyDescent="0.2">
      <c r="A19" s="110"/>
      <c r="B19" s="113"/>
      <c r="C19" s="49" t="s">
        <v>145</v>
      </c>
      <c r="D19" s="24" t="s">
        <v>147</v>
      </c>
      <c r="E19" s="35"/>
      <c r="F19" s="36">
        <f>SUM(G19:H19)</f>
        <v>159153</v>
      </c>
      <c r="G19" s="37">
        <v>159153</v>
      </c>
      <c r="H19" s="37">
        <f>SUM(I19:J19)</f>
        <v>0</v>
      </c>
      <c r="I19" s="38"/>
      <c r="J19" s="25"/>
      <c r="K19" s="26">
        <f>SUM(E19:F19)+7</f>
        <v>159160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48" customFormat="1" ht="63.75" x14ac:dyDescent="0.2">
      <c r="A20" s="34"/>
      <c r="B20" s="50" t="s">
        <v>30</v>
      </c>
      <c r="C20" s="49" t="s">
        <v>139</v>
      </c>
      <c r="D20" s="24" t="s">
        <v>196</v>
      </c>
      <c r="E20" s="35">
        <v>308000</v>
      </c>
      <c r="F20" s="36">
        <f>SUM(G20:H20)</f>
        <v>0</v>
      </c>
      <c r="G20" s="37"/>
      <c r="H20" s="37">
        <f>SUM(I20:J20)</f>
        <v>0</v>
      </c>
      <c r="I20" s="38"/>
      <c r="J20" s="25"/>
      <c r="K20" s="26">
        <f>SUM(E20:F20)</f>
        <v>308000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48" customFormat="1" ht="12.75" x14ac:dyDescent="0.2">
      <c r="A21" s="107" t="s">
        <v>198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26">
        <f>SUM(K17:K20)</f>
        <v>2061810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48" customFormat="1" ht="12.75" x14ac:dyDescent="0.2">
      <c r="A22" s="105" t="s">
        <v>182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48" customFormat="1" ht="25.5" x14ac:dyDescent="0.2">
      <c r="A23" s="108"/>
      <c r="B23" s="111" t="s">
        <v>67</v>
      </c>
      <c r="C23" s="49" t="s">
        <v>139</v>
      </c>
      <c r="D23" s="24" t="s">
        <v>140</v>
      </c>
      <c r="E23" s="35"/>
      <c r="F23" s="36">
        <f>SUM(G23:H23)</f>
        <v>111999</v>
      </c>
      <c r="G23" s="37"/>
      <c r="H23" s="37">
        <f>SUM(I23:J23)</f>
        <v>111999</v>
      </c>
      <c r="I23" s="38">
        <v>111999</v>
      </c>
      <c r="J23" s="25"/>
      <c r="K23" s="26">
        <f>SUM(E23:F23)+1</f>
        <v>112000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48" customFormat="1" ht="25.5" x14ac:dyDescent="0.2">
      <c r="A24" s="109"/>
      <c r="B24" s="112"/>
      <c r="C24" s="49" t="s">
        <v>141</v>
      </c>
      <c r="D24" s="24" t="s">
        <v>140</v>
      </c>
      <c r="E24" s="35"/>
      <c r="F24" s="36">
        <f t="shared" ref="F24:F29" si="3">SUM(G24:H24)</f>
        <v>376413</v>
      </c>
      <c r="G24" s="37"/>
      <c r="H24" s="37">
        <f t="shared" ref="H24:H30" si="4">SUM(I24:J24)</f>
        <v>376413</v>
      </c>
      <c r="I24" s="38">
        <v>376413</v>
      </c>
      <c r="J24" s="25"/>
      <c r="K24" s="26">
        <f t="shared" ref="K24:K29" si="5">SUM(E24:F24)</f>
        <v>376413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48" customFormat="1" ht="25.5" x14ac:dyDescent="0.2">
      <c r="A25" s="109"/>
      <c r="B25" s="112"/>
      <c r="C25" s="49" t="s">
        <v>150</v>
      </c>
      <c r="D25" s="24" t="s">
        <v>140</v>
      </c>
      <c r="E25" s="35"/>
      <c r="F25" s="36">
        <f t="shared" si="3"/>
        <v>317008</v>
      </c>
      <c r="G25" s="37"/>
      <c r="H25" s="37">
        <f t="shared" si="4"/>
        <v>317008</v>
      </c>
      <c r="I25" s="38">
        <v>317008</v>
      </c>
      <c r="J25" s="25"/>
      <c r="K25" s="26">
        <f t="shared" si="5"/>
        <v>317008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48" customFormat="1" ht="25.5" x14ac:dyDescent="0.2">
      <c r="A26" s="109"/>
      <c r="B26" s="112"/>
      <c r="C26" s="49" t="s">
        <v>156</v>
      </c>
      <c r="D26" s="24" t="s">
        <v>140</v>
      </c>
      <c r="E26" s="35"/>
      <c r="F26" s="36">
        <f t="shared" si="3"/>
        <v>249528</v>
      </c>
      <c r="G26" s="37"/>
      <c r="H26" s="37">
        <f t="shared" si="4"/>
        <v>249528</v>
      </c>
      <c r="I26" s="38">
        <v>249528</v>
      </c>
      <c r="J26" s="25"/>
      <c r="K26" s="26">
        <f t="shared" si="5"/>
        <v>249528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48" customFormat="1" ht="25.5" x14ac:dyDescent="0.2">
      <c r="A27" s="109"/>
      <c r="B27" s="112"/>
      <c r="C27" s="49" t="s">
        <v>164</v>
      </c>
      <c r="D27" s="24" t="s">
        <v>140</v>
      </c>
      <c r="E27" s="35"/>
      <c r="F27" s="36">
        <f t="shared" si="3"/>
        <v>78313</v>
      </c>
      <c r="G27" s="37"/>
      <c r="H27" s="37">
        <f t="shared" si="4"/>
        <v>78313</v>
      </c>
      <c r="I27" s="38">
        <v>78313</v>
      </c>
      <c r="J27" s="25"/>
      <c r="K27" s="26">
        <f t="shared" si="5"/>
        <v>78313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48" customFormat="1" ht="25.5" x14ac:dyDescent="0.2">
      <c r="A28" s="109"/>
      <c r="B28" s="112"/>
      <c r="C28" s="49" t="s">
        <v>164</v>
      </c>
      <c r="D28" s="24" t="s">
        <v>140</v>
      </c>
      <c r="E28" s="35"/>
      <c r="F28" s="36">
        <f t="shared" si="3"/>
        <v>25686</v>
      </c>
      <c r="G28" s="37"/>
      <c r="H28" s="37">
        <f t="shared" si="4"/>
        <v>25686</v>
      </c>
      <c r="I28" s="38">
        <v>25686</v>
      </c>
      <c r="J28" s="25"/>
      <c r="K28" s="26">
        <f t="shared" si="5"/>
        <v>25686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48" customFormat="1" ht="25.5" x14ac:dyDescent="0.2">
      <c r="A29" s="109"/>
      <c r="B29" s="112"/>
      <c r="C29" s="49" t="s">
        <v>167</v>
      </c>
      <c r="D29" s="24" t="s">
        <v>168</v>
      </c>
      <c r="E29" s="35"/>
      <c r="F29" s="36">
        <f t="shared" si="3"/>
        <v>160410.92000000001</v>
      </c>
      <c r="G29" s="37">
        <v>160410.92000000001</v>
      </c>
      <c r="H29" s="37">
        <f t="shared" si="4"/>
        <v>0</v>
      </c>
      <c r="I29" s="41"/>
      <c r="J29" s="43"/>
      <c r="K29" s="26">
        <f t="shared" si="5"/>
        <v>160410.92000000001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48" customFormat="1" ht="25.5" x14ac:dyDescent="0.2">
      <c r="A30" s="110"/>
      <c r="B30" s="113"/>
      <c r="C30" s="49" t="s">
        <v>164</v>
      </c>
      <c r="D30" s="24" t="s">
        <v>166</v>
      </c>
      <c r="E30" s="35"/>
      <c r="F30" s="36">
        <f>SUM(G30:H30)</f>
        <v>72780</v>
      </c>
      <c r="G30" s="37"/>
      <c r="H30" s="37">
        <f t="shared" si="4"/>
        <v>72780</v>
      </c>
      <c r="I30" s="38">
        <v>72780</v>
      </c>
      <c r="J30" s="25"/>
      <c r="K30" s="26">
        <f>SUM(E30:F30)</f>
        <v>72780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48" customFormat="1" ht="25.5" x14ac:dyDescent="0.2">
      <c r="A31" s="34"/>
      <c r="B31" s="50" t="s">
        <v>68</v>
      </c>
      <c r="C31" s="49"/>
      <c r="D31" s="24"/>
      <c r="E31" s="35"/>
      <c r="F31" s="36">
        <f t="shared" ref="F31:F57" si="6">SUM(G31:H31)</f>
        <v>0</v>
      </c>
      <c r="G31" s="37"/>
      <c r="H31" s="37">
        <f t="shared" ref="H31:H57" si="7">SUM(I31:J31)</f>
        <v>0</v>
      </c>
      <c r="I31" s="38"/>
      <c r="J31" s="25"/>
      <c r="K31" s="26">
        <f t="shared" ref="K31:K57" si="8">SUM(E31:F31)</f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48" customFormat="1" ht="38.25" x14ac:dyDescent="0.2">
      <c r="A32" s="34"/>
      <c r="B32" s="50" t="s">
        <v>33</v>
      </c>
      <c r="C32" s="49" t="s">
        <v>158</v>
      </c>
      <c r="D32" s="24" t="s">
        <v>163</v>
      </c>
      <c r="E32" s="35"/>
      <c r="F32" s="36">
        <f t="shared" ref="F32:F40" si="9">SUM(G32:H32)</f>
        <v>98728</v>
      </c>
      <c r="G32" s="37"/>
      <c r="H32" s="37">
        <f t="shared" si="7"/>
        <v>98728</v>
      </c>
      <c r="I32" s="38">
        <v>98728</v>
      </c>
      <c r="J32" s="43"/>
      <c r="K32" s="26">
        <f>SUM(E32:F32)</f>
        <v>98728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48" customFormat="1" ht="51" x14ac:dyDescent="0.2">
      <c r="A33" s="34"/>
      <c r="B33" s="50" t="s">
        <v>34</v>
      </c>
      <c r="C33" s="49" t="s">
        <v>158</v>
      </c>
      <c r="D33" s="24" t="s">
        <v>160</v>
      </c>
      <c r="E33" s="35"/>
      <c r="F33" s="36">
        <f t="shared" si="9"/>
        <v>144530</v>
      </c>
      <c r="G33" s="37"/>
      <c r="H33" s="37">
        <f t="shared" si="7"/>
        <v>144530</v>
      </c>
      <c r="I33" s="38">
        <v>144530</v>
      </c>
      <c r="J33" s="25"/>
      <c r="K33" s="26">
        <f>SUM(E33:F33)</f>
        <v>144530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48" customFormat="1" ht="12.75" x14ac:dyDescent="0.2">
      <c r="A34" s="108"/>
      <c r="B34" s="111" t="s">
        <v>35</v>
      </c>
      <c r="C34" s="49" t="s">
        <v>156</v>
      </c>
      <c r="D34" s="28" t="s">
        <v>157</v>
      </c>
      <c r="E34" s="39"/>
      <c r="F34" s="36">
        <f t="shared" si="9"/>
        <v>1430173</v>
      </c>
      <c r="G34" s="40">
        <v>1430173</v>
      </c>
      <c r="H34" s="37">
        <f t="shared" si="7"/>
        <v>0</v>
      </c>
      <c r="I34" s="41"/>
      <c r="J34" s="42"/>
      <c r="K34" s="26">
        <f>SUM(E34:F34)+4.83</f>
        <v>1430177.83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48" customFormat="1" ht="12.75" x14ac:dyDescent="0.2">
      <c r="A35" s="109"/>
      <c r="B35" s="112"/>
      <c r="C35" s="49" t="s">
        <v>142</v>
      </c>
      <c r="D35" s="24" t="s">
        <v>143</v>
      </c>
      <c r="E35" s="35"/>
      <c r="F35" s="36">
        <f t="shared" si="9"/>
        <v>240652.41</v>
      </c>
      <c r="G35" s="37">
        <v>240652.41</v>
      </c>
      <c r="H35" s="37">
        <f t="shared" si="7"/>
        <v>0</v>
      </c>
      <c r="I35" s="41"/>
      <c r="J35" s="25"/>
      <c r="K35" s="26">
        <f t="shared" ref="K35:K40" si="10">SUM(E35:F35)</f>
        <v>240652.41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48" customFormat="1" ht="51" x14ac:dyDescent="0.2">
      <c r="A36" s="109"/>
      <c r="B36" s="112"/>
      <c r="C36" s="49" t="s">
        <v>158</v>
      </c>
      <c r="D36" s="24" t="s">
        <v>161</v>
      </c>
      <c r="E36" s="35"/>
      <c r="F36" s="36">
        <f t="shared" si="9"/>
        <v>74966</v>
      </c>
      <c r="G36" s="37"/>
      <c r="H36" s="37">
        <f t="shared" si="7"/>
        <v>74966</v>
      </c>
      <c r="I36" s="38">
        <v>74966</v>
      </c>
      <c r="J36" s="25"/>
      <c r="K36" s="26">
        <f t="shared" si="10"/>
        <v>74966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48" customFormat="1" ht="51" x14ac:dyDescent="0.2">
      <c r="A37" s="109"/>
      <c r="B37" s="112"/>
      <c r="C37" s="49" t="s">
        <v>158</v>
      </c>
      <c r="D37" s="24" t="s">
        <v>162</v>
      </c>
      <c r="E37" s="35"/>
      <c r="F37" s="36">
        <f t="shared" si="9"/>
        <v>155942.07999999999</v>
      </c>
      <c r="G37" s="37">
        <v>155942.07999999999</v>
      </c>
      <c r="H37" s="37">
        <f t="shared" si="7"/>
        <v>0</v>
      </c>
      <c r="I37" s="41"/>
      <c r="J37" s="43"/>
      <c r="K37" s="26">
        <f t="shared" si="10"/>
        <v>155942.07999999999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48" customFormat="1" ht="38.25" x14ac:dyDescent="0.2">
      <c r="A38" s="109"/>
      <c r="B38" s="112"/>
      <c r="C38" s="49" t="s">
        <v>154</v>
      </c>
      <c r="D38" s="24" t="s">
        <v>155</v>
      </c>
      <c r="E38" s="35"/>
      <c r="F38" s="36">
        <f t="shared" si="9"/>
        <v>509585</v>
      </c>
      <c r="G38" s="37"/>
      <c r="H38" s="37">
        <f t="shared" si="7"/>
        <v>509585</v>
      </c>
      <c r="I38" s="38">
        <v>509585</v>
      </c>
      <c r="J38" s="25"/>
      <c r="K38" s="26">
        <f t="shared" si="10"/>
        <v>509585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48" customFormat="1" ht="38.25" x14ac:dyDescent="0.2">
      <c r="A39" s="109"/>
      <c r="B39" s="112"/>
      <c r="C39" s="49" t="s">
        <v>169</v>
      </c>
      <c r="D39" s="24" t="s">
        <v>170</v>
      </c>
      <c r="E39" s="35"/>
      <c r="F39" s="36">
        <f t="shared" si="9"/>
        <v>1029567.64</v>
      </c>
      <c r="G39" s="37">
        <v>1029567.64</v>
      </c>
      <c r="H39" s="37">
        <f t="shared" si="7"/>
        <v>0</v>
      </c>
      <c r="I39" s="38"/>
      <c r="J39" s="43"/>
      <c r="K39" s="26">
        <f t="shared" si="10"/>
        <v>1029567.64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48" customFormat="1" ht="38.25" x14ac:dyDescent="0.2">
      <c r="A40" s="110"/>
      <c r="B40" s="113"/>
      <c r="C40" s="49" t="s">
        <v>169</v>
      </c>
      <c r="D40" s="24" t="s">
        <v>171</v>
      </c>
      <c r="E40" s="35"/>
      <c r="F40" s="36">
        <f t="shared" si="9"/>
        <v>737196.36</v>
      </c>
      <c r="G40" s="37">
        <v>737196.36</v>
      </c>
      <c r="H40" s="37">
        <f t="shared" si="7"/>
        <v>0</v>
      </c>
      <c r="I40" s="38"/>
      <c r="J40" s="43"/>
      <c r="K40" s="26">
        <f t="shared" si="10"/>
        <v>737196.36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48" customFormat="1" ht="12.75" x14ac:dyDescent="0.2">
      <c r="A41" s="34"/>
      <c r="B41" s="50" t="s">
        <v>36</v>
      </c>
      <c r="C41" s="49"/>
      <c r="D41" s="24"/>
      <c r="E41" s="35"/>
      <c r="F41" s="36">
        <f t="shared" si="6"/>
        <v>0</v>
      </c>
      <c r="G41" s="37"/>
      <c r="H41" s="37">
        <f t="shared" si="7"/>
        <v>0</v>
      </c>
      <c r="I41" s="38"/>
      <c r="J41" s="25"/>
      <c r="K41" s="26">
        <f t="shared" si="8"/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48" customFormat="1" ht="25.5" x14ac:dyDescent="0.2">
      <c r="A42" s="34"/>
      <c r="B42" s="50" t="s">
        <v>37</v>
      </c>
      <c r="C42" s="49" t="s">
        <v>151</v>
      </c>
      <c r="D42" s="28" t="s">
        <v>153</v>
      </c>
      <c r="E42" s="39"/>
      <c r="F42" s="36">
        <f>SUM(G42:H42)</f>
        <v>93257</v>
      </c>
      <c r="G42" s="40"/>
      <c r="H42" s="37">
        <f t="shared" si="7"/>
        <v>93257</v>
      </c>
      <c r="I42" s="41">
        <v>93257</v>
      </c>
      <c r="J42" s="25"/>
      <c r="K42" s="26">
        <f>SUM(E42:F42)</f>
        <v>93257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48" customFormat="1" ht="25.5" x14ac:dyDescent="0.2">
      <c r="A43" s="34"/>
      <c r="B43" s="50" t="s">
        <v>38</v>
      </c>
      <c r="C43" s="49"/>
      <c r="D43" s="24"/>
      <c r="E43" s="35"/>
      <c r="F43" s="36">
        <f t="shared" si="6"/>
        <v>0</v>
      </c>
      <c r="G43" s="37"/>
      <c r="H43" s="37">
        <f t="shared" si="7"/>
        <v>0</v>
      </c>
      <c r="I43" s="38"/>
      <c r="J43" s="25"/>
      <c r="K43" s="26">
        <f t="shared" si="8"/>
        <v>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48" customFormat="1" ht="25.5" x14ac:dyDescent="0.2">
      <c r="A44" s="34"/>
      <c r="B44" s="50" t="s">
        <v>69</v>
      </c>
      <c r="C44" s="49"/>
      <c r="D44" s="24"/>
      <c r="E44" s="35"/>
      <c r="F44" s="36">
        <f t="shared" si="6"/>
        <v>0</v>
      </c>
      <c r="G44" s="37"/>
      <c r="H44" s="37">
        <f t="shared" si="7"/>
        <v>0</v>
      </c>
      <c r="I44" s="38"/>
      <c r="J44" s="25"/>
      <c r="K44" s="26">
        <f t="shared" si="8"/>
        <v>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48" customFormat="1" ht="12.75" x14ac:dyDescent="0.2">
      <c r="A45" s="34"/>
      <c r="B45" s="50" t="s">
        <v>39</v>
      </c>
      <c r="C45" s="49"/>
      <c r="D45" s="24"/>
      <c r="E45" s="35"/>
      <c r="F45" s="36">
        <f t="shared" si="6"/>
        <v>0</v>
      </c>
      <c r="G45" s="37"/>
      <c r="H45" s="37">
        <f t="shared" si="7"/>
        <v>0</v>
      </c>
      <c r="I45" s="38"/>
      <c r="J45" s="25"/>
      <c r="K45" s="26">
        <f t="shared" si="8"/>
        <v>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48" customFormat="1" ht="25.5" x14ac:dyDescent="0.2">
      <c r="A46" s="34"/>
      <c r="B46" s="50" t="s">
        <v>40</v>
      </c>
      <c r="C46" s="49" t="s">
        <v>151</v>
      </c>
      <c r="D46" s="24" t="s">
        <v>152</v>
      </c>
      <c r="E46" s="35"/>
      <c r="F46" s="36">
        <f>SUM(G46:H46)</f>
        <v>384902</v>
      </c>
      <c r="G46" s="37"/>
      <c r="H46" s="37">
        <f t="shared" si="7"/>
        <v>384902</v>
      </c>
      <c r="I46" s="38">
        <v>384902</v>
      </c>
      <c r="J46" s="25"/>
      <c r="K46" s="26">
        <f>SUM(E46:F46)</f>
        <v>384902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48" customFormat="1" ht="12.75" x14ac:dyDescent="0.2">
      <c r="A47" s="34"/>
      <c r="B47" s="50" t="s">
        <v>126</v>
      </c>
      <c r="C47" s="49" t="s">
        <v>148</v>
      </c>
      <c r="D47" s="24" t="s">
        <v>149</v>
      </c>
      <c r="E47" s="35"/>
      <c r="F47" s="36">
        <f t="shared" si="6"/>
        <v>102665.4</v>
      </c>
      <c r="G47" s="37">
        <v>102665.4</v>
      </c>
      <c r="H47" s="37">
        <f t="shared" si="7"/>
        <v>0</v>
      </c>
      <c r="I47" s="38"/>
      <c r="J47" s="25"/>
      <c r="K47" s="26">
        <f t="shared" si="8"/>
        <v>102665.4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48" customFormat="1" ht="25.5" x14ac:dyDescent="0.2">
      <c r="A48" s="108"/>
      <c r="B48" s="111" t="s">
        <v>127</v>
      </c>
      <c r="C48" s="49" t="s">
        <v>158</v>
      </c>
      <c r="D48" s="24" t="s">
        <v>183</v>
      </c>
      <c r="E48" s="35">
        <v>67735</v>
      </c>
      <c r="F48" s="36">
        <f t="shared" si="6"/>
        <v>0</v>
      </c>
      <c r="G48" s="37"/>
      <c r="H48" s="37">
        <f t="shared" si="7"/>
        <v>0</v>
      </c>
      <c r="I48" s="41"/>
      <c r="J48" s="42"/>
      <c r="K48" s="26">
        <f>SUM(E48:F48)+5</f>
        <v>67740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48" customFormat="1" ht="25.5" x14ac:dyDescent="0.2">
      <c r="A49" s="109"/>
      <c r="B49" s="112"/>
      <c r="C49" s="49" t="s">
        <v>158</v>
      </c>
      <c r="D49" s="24" t="s">
        <v>184</v>
      </c>
      <c r="E49" s="35">
        <v>125000</v>
      </c>
      <c r="F49" s="36">
        <f t="shared" si="6"/>
        <v>0</v>
      </c>
      <c r="G49" s="37"/>
      <c r="H49" s="37">
        <f t="shared" si="7"/>
        <v>0</v>
      </c>
      <c r="I49" s="41"/>
      <c r="J49" s="43"/>
      <c r="K49" s="26">
        <f t="shared" si="8"/>
        <v>125000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48" customFormat="1" ht="25.5" x14ac:dyDescent="0.2">
      <c r="A50" s="110"/>
      <c r="B50" s="113"/>
      <c r="C50" s="49" t="s">
        <v>167</v>
      </c>
      <c r="D50" s="24" t="s">
        <v>185</v>
      </c>
      <c r="E50" s="35">
        <v>97600</v>
      </c>
      <c r="F50" s="36">
        <f t="shared" si="6"/>
        <v>0</v>
      </c>
      <c r="G50" s="37"/>
      <c r="H50" s="37">
        <f t="shared" si="7"/>
        <v>0</v>
      </c>
      <c r="I50" s="41"/>
      <c r="J50" s="43"/>
      <c r="K50" s="26">
        <f t="shared" si="8"/>
        <v>97600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48" customFormat="1" ht="12.75" x14ac:dyDescent="0.2">
      <c r="A51" s="34"/>
      <c r="B51" s="50" t="s">
        <v>70</v>
      </c>
      <c r="C51" s="49"/>
      <c r="D51" s="24"/>
      <c r="E51" s="35"/>
      <c r="F51" s="36">
        <f t="shared" si="6"/>
        <v>0</v>
      </c>
      <c r="G51" s="37"/>
      <c r="H51" s="37">
        <f t="shared" si="7"/>
        <v>0</v>
      </c>
      <c r="I51" s="38"/>
      <c r="J51" s="25"/>
      <c r="K51" s="26">
        <f t="shared" si="8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48" customFormat="1" ht="12.75" x14ac:dyDescent="0.2">
      <c r="A52" s="34"/>
      <c r="B52" s="50" t="s">
        <v>41</v>
      </c>
      <c r="C52" s="49"/>
      <c r="D52" s="24"/>
      <c r="E52" s="35"/>
      <c r="F52" s="36">
        <f t="shared" si="6"/>
        <v>0</v>
      </c>
      <c r="G52" s="37"/>
      <c r="H52" s="37">
        <f t="shared" si="7"/>
        <v>0</v>
      </c>
      <c r="I52" s="38"/>
      <c r="J52" s="25"/>
      <c r="K52" s="26">
        <f t="shared" si="8"/>
        <v>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48" customFormat="1" ht="25.5" x14ac:dyDescent="0.2">
      <c r="A53" s="108"/>
      <c r="B53" s="111" t="s">
        <v>42</v>
      </c>
      <c r="C53" s="49" t="s">
        <v>145</v>
      </c>
      <c r="D53" s="24" t="s">
        <v>146</v>
      </c>
      <c r="E53" s="35"/>
      <c r="F53" s="36">
        <f t="shared" si="6"/>
        <v>28973.119999999999</v>
      </c>
      <c r="G53" s="37">
        <v>28973.119999999999</v>
      </c>
      <c r="H53" s="37">
        <f t="shared" si="7"/>
        <v>0</v>
      </c>
      <c r="I53" s="41"/>
      <c r="J53" s="25"/>
      <c r="K53" s="26">
        <f t="shared" si="8"/>
        <v>28973.119999999999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48" customFormat="1" ht="12.75" x14ac:dyDescent="0.2">
      <c r="A54" s="109"/>
      <c r="B54" s="112"/>
      <c r="C54" s="49" t="s">
        <v>158</v>
      </c>
      <c r="D54" s="24" t="s">
        <v>159</v>
      </c>
      <c r="E54" s="35"/>
      <c r="F54" s="36">
        <f t="shared" si="6"/>
        <v>385817</v>
      </c>
      <c r="G54" s="37">
        <v>385817</v>
      </c>
      <c r="H54" s="37">
        <f t="shared" si="7"/>
        <v>0</v>
      </c>
      <c r="I54" s="41"/>
      <c r="J54" s="25"/>
      <c r="K54" s="26">
        <f t="shared" si="8"/>
        <v>385817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48" customFormat="1" ht="25.5" x14ac:dyDescent="0.2">
      <c r="A55" s="109"/>
      <c r="B55" s="112"/>
      <c r="C55" s="49" t="s">
        <v>167</v>
      </c>
      <c r="D55" s="24" t="s">
        <v>146</v>
      </c>
      <c r="E55" s="35"/>
      <c r="F55" s="36">
        <f t="shared" si="6"/>
        <v>57946.239999999998</v>
      </c>
      <c r="G55" s="37">
        <v>57946.239999999998</v>
      </c>
      <c r="H55" s="37">
        <f t="shared" si="7"/>
        <v>0</v>
      </c>
      <c r="I55" s="41"/>
      <c r="J55" s="43"/>
      <c r="K55" s="26">
        <f t="shared" si="8"/>
        <v>57946.239999999998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48" customFormat="1" ht="25.5" x14ac:dyDescent="0.2">
      <c r="A56" s="110"/>
      <c r="B56" s="113"/>
      <c r="C56" s="49" t="s">
        <v>164</v>
      </c>
      <c r="D56" s="24" t="s">
        <v>165</v>
      </c>
      <c r="E56" s="35"/>
      <c r="F56" s="36">
        <f>SUM(G56:H56)</f>
        <v>40985</v>
      </c>
      <c r="G56" s="37"/>
      <c r="H56" s="37">
        <f t="shared" si="7"/>
        <v>40985</v>
      </c>
      <c r="I56" s="38">
        <v>40985</v>
      </c>
      <c r="J56" s="25"/>
      <c r="K56" s="26">
        <f>SUM(E56:F56)</f>
        <v>40985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48" customFormat="1" ht="25.5" x14ac:dyDescent="0.2">
      <c r="A57" s="34"/>
      <c r="B57" s="50" t="s">
        <v>43</v>
      </c>
      <c r="C57" s="49"/>
      <c r="D57" s="24"/>
      <c r="E57" s="35"/>
      <c r="F57" s="36">
        <f t="shared" si="6"/>
        <v>0</v>
      </c>
      <c r="G57" s="37"/>
      <c r="H57" s="37">
        <f t="shared" si="7"/>
        <v>0</v>
      </c>
      <c r="I57" s="38"/>
      <c r="J57" s="25"/>
      <c r="K57" s="26">
        <f t="shared" si="8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48" customFormat="1" ht="12.75" x14ac:dyDescent="0.2">
      <c r="A58" s="107" t="s">
        <v>199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26">
        <f>SUM(K23:K57)</f>
        <v>7198370.0000000009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48" customFormat="1" ht="12.75" x14ac:dyDescent="0.2">
      <c r="A59" s="107" t="s">
        <v>200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26">
        <f>K15+K21+K58</f>
        <v>11161170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x14ac:dyDescent="0.25">
      <c r="D60" s="29"/>
      <c r="E60" s="30"/>
      <c r="F60" s="30"/>
      <c r="G60" s="30"/>
      <c r="H60" s="30"/>
    </row>
    <row r="61" spans="1:254" x14ac:dyDescent="0.25">
      <c r="D61" s="29"/>
      <c r="E61" s="30"/>
      <c r="F61" s="30"/>
      <c r="G61" s="30"/>
      <c r="H61" s="30"/>
    </row>
    <row r="62" spans="1:254" x14ac:dyDescent="0.25">
      <c r="D62" s="29"/>
      <c r="E62" s="30"/>
      <c r="F62" s="30"/>
      <c r="G62" s="30"/>
      <c r="H62" s="30"/>
    </row>
    <row r="63" spans="1:254" ht="11.25" customHeight="1" x14ac:dyDescent="0.25">
      <c r="D63" s="29"/>
      <c r="E63" s="30"/>
      <c r="F63" s="30"/>
      <c r="G63" s="30"/>
      <c r="H63" s="106" t="s">
        <v>67</v>
      </c>
      <c r="I63" s="106"/>
      <c r="J63" s="106"/>
      <c r="K63" s="55">
        <f>SUM(K23:K30)</f>
        <v>1392138.92</v>
      </c>
    </row>
    <row r="64" spans="1:254" ht="11.25" customHeight="1" x14ac:dyDescent="0.25">
      <c r="E64" s="30"/>
      <c r="F64" s="30"/>
      <c r="G64" s="30"/>
      <c r="H64" s="106" t="s">
        <v>68</v>
      </c>
      <c r="I64" s="106"/>
      <c r="J64" s="106"/>
      <c r="K64" s="55">
        <f>SUM(K31)</f>
        <v>0</v>
      </c>
    </row>
    <row r="65" spans="5:11" ht="11.25" customHeight="1" x14ac:dyDescent="0.25">
      <c r="E65" s="30"/>
      <c r="F65" s="30"/>
      <c r="G65" s="30"/>
      <c r="H65" s="106" t="s">
        <v>33</v>
      </c>
      <c r="I65" s="106"/>
      <c r="J65" s="106"/>
      <c r="K65" s="55">
        <f>SUM(K32)</f>
        <v>98728</v>
      </c>
    </row>
    <row r="66" spans="5:11" ht="11.25" customHeight="1" x14ac:dyDescent="0.25">
      <c r="E66" s="30"/>
      <c r="F66" s="30"/>
      <c r="G66" s="30"/>
      <c r="H66" s="106" t="s">
        <v>34</v>
      </c>
      <c r="I66" s="106"/>
      <c r="J66" s="106"/>
      <c r="K66" s="55">
        <f>SUM(K33)</f>
        <v>144530</v>
      </c>
    </row>
    <row r="67" spans="5:11" ht="11.25" customHeight="1" x14ac:dyDescent="0.25">
      <c r="E67" s="30"/>
      <c r="F67" s="30"/>
      <c r="G67" s="30"/>
      <c r="H67" s="106" t="s">
        <v>35</v>
      </c>
      <c r="I67" s="106"/>
      <c r="J67" s="106"/>
      <c r="K67" s="55">
        <f>SUM(K34:K40)</f>
        <v>4178087.3200000003</v>
      </c>
    </row>
    <row r="68" spans="5:11" ht="11.25" customHeight="1" x14ac:dyDescent="0.25">
      <c r="E68" s="30"/>
      <c r="F68" s="30"/>
      <c r="G68" s="30"/>
      <c r="H68" s="106" t="s">
        <v>36</v>
      </c>
      <c r="I68" s="106"/>
      <c r="J68" s="106"/>
      <c r="K68" s="55">
        <f>SUM(K31)</f>
        <v>0</v>
      </c>
    </row>
    <row r="69" spans="5:11" ht="11.25" customHeight="1" x14ac:dyDescent="0.25">
      <c r="E69" s="30"/>
      <c r="F69" s="30"/>
      <c r="G69" s="30"/>
      <c r="H69" s="106" t="s">
        <v>37</v>
      </c>
      <c r="I69" s="106"/>
      <c r="J69" s="106"/>
      <c r="K69" s="55">
        <f t="shared" ref="K69:K74" si="11">SUM(K42)</f>
        <v>93257</v>
      </c>
    </row>
    <row r="70" spans="5:11" ht="11.25" customHeight="1" x14ac:dyDescent="0.25">
      <c r="E70" s="30"/>
      <c r="F70" s="30"/>
      <c r="G70" s="30"/>
      <c r="H70" s="106" t="s">
        <v>38</v>
      </c>
      <c r="I70" s="106"/>
      <c r="J70" s="106"/>
      <c r="K70" s="55">
        <f t="shared" si="11"/>
        <v>0</v>
      </c>
    </row>
    <row r="71" spans="5:11" ht="11.25" customHeight="1" x14ac:dyDescent="0.25">
      <c r="E71" s="30"/>
      <c r="F71" s="30"/>
      <c r="G71" s="30"/>
      <c r="H71" s="106" t="s">
        <v>69</v>
      </c>
      <c r="I71" s="106"/>
      <c r="J71" s="106"/>
      <c r="K71" s="55">
        <f t="shared" si="11"/>
        <v>0</v>
      </c>
    </row>
    <row r="72" spans="5:11" ht="11.25" customHeight="1" x14ac:dyDescent="0.25">
      <c r="E72" s="30"/>
      <c r="F72" s="30"/>
      <c r="G72" s="30"/>
      <c r="H72" s="106" t="s">
        <v>39</v>
      </c>
      <c r="I72" s="106"/>
      <c r="J72" s="106"/>
      <c r="K72" s="55">
        <f t="shared" si="11"/>
        <v>0</v>
      </c>
    </row>
    <row r="73" spans="5:11" ht="11.25" customHeight="1" x14ac:dyDescent="0.25">
      <c r="E73" s="30"/>
      <c r="F73" s="30"/>
      <c r="G73" s="30"/>
      <c r="H73" s="106" t="s">
        <v>40</v>
      </c>
      <c r="I73" s="106"/>
      <c r="J73" s="106"/>
      <c r="K73" s="55">
        <f t="shared" si="11"/>
        <v>384902</v>
      </c>
    </row>
    <row r="74" spans="5:11" ht="11.25" customHeight="1" x14ac:dyDescent="0.25">
      <c r="E74" s="30"/>
      <c r="F74" s="30"/>
      <c r="G74" s="30"/>
      <c r="H74" s="106" t="s">
        <v>126</v>
      </c>
      <c r="I74" s="106"/>
      <c r="J74" s="106"/>
      <c r="K74" s="55">
        <f t="shared" si="11"/>
        <v>102665.4</v>
      </c>
    </row>
    <row r="75" spans="5:11" ht="11.25" customHeight="1" x14ac:dyDescent="0.25">
      <c r="E75" s="30"/>
      <c r="F75" s="30"/>
      <c r="G75" s="30"/>
      <c r="H75" s="106" t="s">
        <v>127</v>
      </c>
      <c r="I75" s="106"/>
      <c r="J75" s="106"/>
      <c r="K75" s="55">
        <f>SUM(K48:K50)</f>
        <v>290340</v>
      </c>
    </row>
    <row r="76" spans="5:11" ht="11.25" customHeight="1" x14ac:dyDescent="0.25">
      <c r="E76" s="30"/>
      <c r="F76" s="30"/>
      <c r="G76" s="30"/>
      <c r="H76" s="106" t="s">
        <v>70</v>
      </c>
      <c r="I76" s="106"/>
      <c r="J76" s="106"/>
      <c r="K76" s="55">
        <f>SUM(K51)</f>
        <v>0</v>
      </c>
    </row>
    <row r="77" spans="5:11" ht="11.25" customHeight="1" x14ac:dyDescent="0.25">
      <c r="E77" s="30"/>
      <c r="F77" s="30"/>
      <c r="G77" s="30"/>
      <c r="H77" s="106" t="s">
        <v>41</v>
      </c>
      <c r="I77" s="106"/>
      <c r="J77" s="106"/>
      <c r="K77" s="55">
        <f>SUM(K52)</f>
        <v>0</v>
      </c>
    </row>
    <row r="78" spans="5:11" ht="11.25" customHeight="1" x14ac:dyDescent="0.25">
      <c r="E78" s="30"/>
      <c r="F78" s="30"/>
      <c r="G78" s="30"/>
      <c r="H78" s="106" t="s">
        <v>42</v>
      </c>
      <c r="I78" s="106"/>
      <c r="J78" s="106"/>
      <c r="K78" s="55">
        <f>SUM(K53:K56)</f>
        <v>513721.36</v>
      </c>
    </row>
    <row r="79" spans="5:11" ht="11.25" customHeight="1" x14ac:dyDescent="0.25">
      <c r="E79" s="30"/>
      <c r="F79" s="30"/>
      <c r="G79" s="30"/>
      <c r="H79" s="106" t="s">
        <v>43</v>
      </c>
      <c r="I79" s="106"/>
      <c r="J79" s="106"/>
      <c r="K79" s="55">
        <f>SUM(K57)</f>
        <v>0</v>
      </c>
    </row>
    <row r="80" spans="5:11" x14ac:dyDescent="0.25">
      <c r="E80" s="30"/>
      <c r="F80" s="30"/>
      <c r="G80" s="30"/>
      <c r="H80" s="30"/>
      <c r="K80" s="44">
        <f>SUM(K63:K79)</f>
        <v>7198370.0000000009</v>
      </c>
    </row>
    <row r="81" spans="5:11" x14ac:dyDescent="0.25">
      <c r="E81" s="30"/>
      <c r="F81" s="30"/>
      <c r="G81" s="30"/>
      <c r="H81" s="30"/>
      <c r="K81" s="44">
        <f>K80-K58</f>
        <v>0</v>
      </c>
    </row>
    <row r="82" spans="5:11" x14ac:dyDescent="0.25">
      <c r="E82" s="30"/>
      <c r="F82" s="30"/>
      <c r="G82" s="30"/>
      <c r="H82" s="30"/>
    </row>
    <row r="83" spans="5:11" x14ac:dyDescent="0.25">
      <c r="E83" s="30"/>
      <c r="F83" s="30"/>
      <c r="G83" s="30"/>
      <c r="H83" s="30"/>
    </row>
    <row r="84" spans="5:11" x14ac:dyDescent="0.25">
      <c r="E84" s="30"/>
      <c r="F84" s="30"/>
      <c r="G84" s="30"/>
      <c r="H84" s="30"/>
    </row>
    <row r="85" spans="5:11" x14ac:dyDescent="0.25">
      <c r="E85" s="30"/>
      <c r="F85" s="30"/>
      <c r="G85" s="30"/>
      <c r="H85" s="30"/>
    </row>
    <row r="86" spans="5:11" x14ac:dyDescent="0.25">
      <c r="E86" s="30"/>
      <c r="F86" s="30"/>
      <c r="G86" s="30"/>
      <c r="H86" s="30"/>
    </row>
    <row r="87" spans="5:11" x14ac:dyDescent="0.25">
      <c r="E87" s="30"/>
      <c r="F87" s="30"/>
      <c r="G87" s="30"/>
      <c r="H87" s="30"/>
    </row>
    <row r="88" spans="5:11" x14ac:dyDescent="0.25">
      <c r="E88" s="30"/>
      <c r="F88" s="30"/>
      <c r="G88" s="30"/>
      <c r="H88" s="30"/>
    </row>
    <row r="89" spans="5:11" x14ac:dyDescent="0.25">
      <c r="E89" s="30"/>
      <c r="F89" s="30"/>
      <c r="G89" s="30"/>
      <c r="H89" s="30"/>
    </row>
    <row r="90" spans="5:11" x14ac:dyDescent="0.25">
      <c r="E90" s="30"/>
      <c r="F90" s="30"/>
      <c r="G90" s="30"/>
      <c r="H90" s="30"/>
    </row>
    <row r="91" spans="5:11" x14ac:dyDescent="0.25">
      <c r="E91" s="30"/>
      <c r="F91" s="30"/>
      <c r="G91" s="30"/>
      <c r="H91" s="30"/>
    </row>
    <row r="92" spans="5:11" x14ac:dyDescent="0.25">
      <c r="E92" s="30"/>
      <c r="F92" s="30"/>
      <c r="G92" s="30"/>
      <c r="H92" s="30"/>
    </row>
    <row r="93" spans="5:11" x14ac:dyDescent="0.25">
      <c r="E93" s="30"/>
      <c r="F93" s="30"/>
      <c r="G93" s="30"/>
      <c r="H93" s="30"/>
    </row>
    <row r="94" spans="5:11" x14ac:dyDescent="0.25">
      <c r="E94" s="30"/>
      <c r="F94" s="30"/>
      <c r="G94" s="30"/>
      <c r="H94" s="30"/>
    </row>
    <row r="95" spans="5:11" x14ac:dyDescent="0.25">
      <c r="E95" s="30"/>
      <c r="F95" s="30"/>
      <c r="G95" s="30"/>
      <c r="H95" s="30"/>
    </row>
    <row r="96" spans="5:11" x14ac:dyDescent="0.25">
      <c r="E96" s="30"/>
      <c r="F96" s="30"/>
      <c r="G96" s="30"/>
      <c r="H96" s="30"/>
    </row>
    <row r="97" spans="5:8" x14ac:dyDescent="0.25">
      <c r="E97" s="30"/>
      <c r="F97" s="30"/>
      <c r="G97" s="30"/>
      <c r="H97" s="30"/>
    </row>
    <row r="98" spans="5:8" x14ac:dyDescent="0.25">
      <c r="E98" s="30"/>
      <c r="F98" s="30"/>
      <c r="G98" s="30"/>
      <c r="H98" s="30"/>
    </row>
    <row r="99" spans="5:8" x14ac:dyDescent="0.25">
      <c r="E99" s="30"/>
      <c r="F99" s="30"/>
      <c r="G99" s="30"/>
      <c r="H99" s="30"/>
    </row>
    <row r="100" spans="5:8" x14ac:dyDescent="0.25">
      <c r="E100" s="30"/>
      <c r="F100" s="30"/>
      <c r="G100" s="30"/>
      <c r="H100" s="30"/>
    </row>
    <row r="101" spans="5:8" x14ac:dyDescent="0.25">
      <c r="E101" s="30"/>
      <c r="F101" s="30"/>
      <c r="G101" s="30"/>
      <c r="H101" s="30"/>
    </row>
    <row r="102" spans="5:8" x14ac:dyDescent="0.25">
      <c r="E102" s="30"/>
      <c r="F102" s="30"/>
      <c r="G102" s="30"/>
      <c r="H102" s="30"/>
    </row>
    <row r="103" spans="5:8" x14ac:dyDescent="0.25">
      <c r="E103" s="30"/>
      <c r="F103" s="30"/>
      <c r="G103" s="30"/>
      <c r="H103" s="30"/>
    </row>
    <row r="104" spans="5:8" x14ac:dyDescent="0.25">
      <c r="E104" s="30"/>
      <c r="F104" s="30"/>
      <c r="G104" s="30"/>
      <c r="H104" s="30"/>
    </row>
    <row r="105" spans="5:8" x14ac:dyDescent="0.25">
      <c r="E105" s="30"/>
      <c r="F105" s="30"/>
      <c r="G105" s="30"/>
      <c r="H105" s="30"/>
    </row>
    <row r="106" spans="5:8" x14ac:dyDescent="0.25">
      <c r="E106" s="30"/>
      <c r="F106" s="30"/>
      <c r="G106" s="30"/>
      <c r="H106" s="30"/>
    </row>
    <row r="107" spans="5:8" x14ac:dyDescent="0.25">
      <c r="E107" s="30"/>
      <c r="F107" s="30"/>
      <c r="G107" s="30"/>
      <c r="H107" s="30"/>
    </row>
    <row r="108" spans="5:8" x14ac:dyDescent="0.25">
      <c r="E108" s="30"/>
      <c r="F108" s="30"/>
      <c r="G108" s="30"/>
      <c r="H108" s="30"/>
    </row>
    <row r="109" spans="5:8" x14ac:dyDescent="0.25">
      <c r="E109" s="30"/>
      <c r="F109" s="30"/>
      <c r="G109" s="30"/>
      <c r="H109" s="30"/>
    </row>
    <row r="110" spans="5:8" x14ac:dyDescent="0.25">
      <c r="E110" s="30"/>
      <c r="F110" s="30"/>
      <c r="G110" s="30"/>
      <c r="H110" s="30"/>
    </row>
    <row r="111" spans="5:8" x14ac:dyDescent="0.25">
      <c r="E111" s="30"/>
      <c r="F111" s="30"/>
      <c r="G111" s="30"/>
      <c r="H111" s="30"/>
    </row>
    <row r="112" spans="5:8" x14ac:dyDescent="0.25">
      <c r="E112" s="30"/>
      <c r="F112" s="30"/>
      <c r="G112" s="30"/>
      <c r="H112" s="30"/>
    </row>
    <row r="113" spans="5:8" x14ac:dyDescent="0.25">
      <c r="E113" s="30"/>
      <c r="F113" s="30"/>
      <c r="G113" s="30"/>
      <c r="H113" s="30"/>
    </row>
    <row r="114" spans="5:8" x14ac:dyDescent="0.25">
      <c r="E114" s="30"/>
      <c r="F114" s="30"/>
      <c r="G114" s="30"/>
      <c r="H114" s="30"/>
    </row>
    <row r="115" spans="5:8" x14ac:dyDescent="0.25">
      <c r="E115" s="30"/>
      <c r="F115" s="30"/>
      <c r="G115" s="30"/>
      <c r="H115" s="30"/>
    </row>
    <row r="116" spans="5:8" x14ac:dyDescent="0.25">
      <c r="E116" s="30"/>
      <c r="F116" s="30"/>
      <c r="G116" s="30"/>
      <c r="H116" s="30"/>
    </row>
    <row r="117" spans="5:8" x14ac:dyDescent="0.25">
      <c r="E117" s="30"/>
      <c r="F117" s="30"/>
      <c r="G117" s="30"/>
      <c r="H117" s="30"/>
    </row>
    <row r="118" spans="5:8" x14ac:dyDescent="0.25">
      <c r="E118" s="30"/>
      <c r="F118" s="30"/>
      <c r="G118" s="30"/>
      <c r="H118" s="30"/>
    </row>
    <row r="119" spans="5:8" x14ac:dyDescent="0.25">
      <c r="E119" s="30"/>
      <c r="F119" s="30"/>
      <c r="G119" s="30"/>
      <c r="H119" s="30"/>
    </row>
    <row r="120" spans="5:8" x14ac:dyDescent="0.25">
      <c r="E120" s="30"/>
      <c r="F120" s="30"/>
      <c r="G120" s="30"/>
      <c r="H120" s="30"/>
    </row>
    <row r="121" spans="5:8" x14ac:dyDescent="0.25">
      <c r="E121" s="30"/>
      <c r="F121" s="30"/>
      <c r="G121" s="30"/>
      <c r="H121" s="30"/>
    </row>
    <row r="122" spans="5:8" x14ac:dyDescent="0.25">
      <c r="E122" s="30"/>
      <c r="F122" s="30"/>
      <c r="G122" s="30"/>
      <c r="H122" s="30"/>
    </row>
    <row r="123" spans="5:8" x14ac:dyDescent="0.25">
      <c r="E123" s="30"/>
      <c r="F123" s="30"/>
      <c r="G123" s="30"/>
      <c r="H123" s="30"/>
    </row>
    <row r="124" spans="5:8" x14ac:dyDescent="0.25">
      <c r="E124" s="30"/>
      <c r="F124" s="30"/>
      <c r="G124" s="30"/>
      <c r="H124" s="30"/>
    </row>
    <row r="125" spans="5:8" x14ac:dyDescent="0.25">
      <c r="E125" s="30"/>
      <c r="F125" s="30"/>
      <c r="G125" s="30"/>
      <c r="H125" s="30"/>
    </row>
    <row r="126" spans="5:8" x14ac:dyDescent="0.25">
      <c r="E126" s="30"/>
      <c r="F126" s="30"/>
      <c r="G126" s="30"/>
      <c r="H126" s="30"/>
    </row>
    <row r="127" spans="5:8" x14ac:dyDescent="0.25">
      <c r="E127" s="30"/>
      <c r="F127" s="30"/>
      <c r="G127" s="30"/>
      <c r="H127" s="30"/>
    </row>
    <row r="128" spans="5:8" x14ac:dyDescent="0.25">
      <c r="E128" s="30"/>
      <c r="F128" s="30"/>
      <c r="G128" s="30"/>
      <c r="H128" s="30"/>
    </row>
    <row r="129" spans="5:8" x14ac:dyDescent="0.25">
      <c r="E129" s="30"/>
      <c r="F129" s="30"/>
      <c r="G129" s="30"/>
      <c r="H129" s="30"/>
    </row>
    <row r="130" spans="5:8" x14ac:dyDescent="0.25">
      <c r="E130" s="30"/>
      <c r="F130" s="30"/>
      <c r="G130" s="30"/>
      <c r="H130" s="30"/>
    </row>
    <row r="131" spans="5:8" x14ac:dyDescent="0.25">
      <c r="E131" s="30"/>
      <c r="F131" s="30"/>
      <c r="G131" s="30"/>
      <c r="H131" s="30"/>
    </row>
    <row r="132" spans="5:8" x14ac:dyDescent="0.25">
      <c r="E132" s="30"/>
      <c r="F132" s="30"/>
      <c r="G132" s="30"/>
      <c r="H132" s="30"/>
    </row>
    <row r="133" spans="5:8" x14ac:dyDescent="0.25">
      <c r="E133" s="30"/>
      <c r="F133" s="30"/>
      <c r="G133" s="30"/>
      <c r="H133" s="30"/>
    </row>
    <row r="134" spans="5:8" x14ac:dyDescent="0.25">
      <c r="E134" s="30"/>
      <c r="F134" s="30"/>
      <c r="G134" s="30"/>
      <c r="H134" s="30"/>
    </row>
    <row r="135" spans="5:8" x14ac:dyDescent="0.25">
      <c r="E135" s="30"/>
      <c r="F135" s="30"/>
      <c r="G135" s="30"/>
      <c r="H135" s="30"/>
    </row>
    <row r="136" spans="5:8" x14ac:dyDescent="0.25">
      <c r="E136" s="30"/>
      <c r="F136" s="30"/>
      <c r="G136" s="30"/>
      <c r="H136" s="30"/>
    </row>
    <row r="137" spans="5:8" x14ac:dyDescent="0.25">
      <c r="E137" s="30"/>
      <c r="F137" s="30"/>
      <c r="G137" s="30"/>
      <c r="H137" s="30"/>
    </row>
    <row r="138" spans="5:8" x14ac:dyDescent="0.25">
      <c r="E138" s="30"/>
      <c r="F138" s="30"/>
      <c r="G138" s="30"/>
      <c r="H138" s="30"/>
    </row>
    <row r="139" spans="5:8" x14ac:dyDescent="0.25">
      <c r="E139" s="30"/>
      <c r="F139" s="30"/>
      <c r="G139" s="30"/>
      <c r="H139" s="30"/>
    </row>
    <row r="140" spans="5:8" x14ac:dyDescent="0.25">
      <c r="E140" s="30"/>
      <c r="F140" s="30"/>
      <c r="G140" s="30"/>
      <c r="H140" s="30"/>
    </row>
    <row r="141" spans="5:8" x14ac:dyDescent="0.25">
      <c r="E141" s="30"/>
      <c r="F141" s="30"/>
      <c r="G141" s="30"/>
      <c r="H141" s="30"/>
    </row>
    <row r="142" spans="5:8" x14ac:dyDescent="0.25">
      <c r="E142" s="30"/>
      <c r="F142" s="30"/>
      <c r="G142" s="30"/>
      <c r="H142" s="30"/>
    </row>
    <row r="143" spans="5:8" x14ac:dyDescent="0.25">
      <c r="E143" s="30"/>
      <c r="F143" s="30"/>
      <c r="G143" s="30"/>
      <c r="H143" s="30"/>
    </row>
    <row r="144" spans="5:8" x14ac:dyDescent="0.25">
      <c r="E144" s="30"/>
      <c r="F144" s="30"/>
      <c r="G144" s="30"/>
      <c r="H144" s="30"/>
    </row>
    <row r="145" spans="5:8" x14ac:dyDescent="0.25">
      <c r="E145" s="30"/>
      <c r="F145" s="30"/>
      <c r="G145" s="30"/>
      <c r="H145" s="30"/>
    </row>
    <row r="146" spans="5:8" x14ac:dyDescent="0.25">
      <c r="E146" s="30"/>
      <c r="F146" s="30"/>
      <c r="G146" s="30"/>
      <c r="H146" s="30"/>
    </row>
    <row r="147" spans="5:8" x14ac:dyDescent="0.25">
      <c r="E147" s="30"/>
      <c r="F147" s="30"/>
      <c r="G147" s="30"/>
      <c r="H147" s="30"/>
    </row>
    <row r="148" spans="5:8" x14ac:dyDescent="0.25">
      <c r="E148" s="30"/>
      <c r="F148" s="30"/>
      <c r="G148" s="30"/>
      <c r="H148" s="30"/>
    </row>
    <row r="149" spans="5:8" x14ac:dyDescent="0.25">
      <c r="E149" s="30"/>
      <c r="F149" s="30"/>
      <c r="G149" s="30"/>
      <c r="H149" s="30"/>
    </row>
    <row r="150" spans="5:8" x14ac:dyDescent="0.25">
      <c r="E150" s="30"/>
      <c r="F150" s="30"/>
      <c r="G150" s="30"/>
      <c r="H150" s="30"/>
    </row>
    <row r="151" spans="5:8" x14ac:dyDescent="0.25">
      <c r="E151" s="30"/>
      <c r="F151" s="30"/>
      <c r="G151" s="30"/>
      <c r="H151" s="30"/>
    </row>
    <row r="152" spans="5:8" x14ac:dyDescent="0.25">
      <c r="E152" s="30"/>
      <c r="F152" s="30"/>
      <c r="G152" s="30"/>
      <c r="H152" s="30"/>
    </row>
    <row r="153" spans="5:8" x14ac:dyDescent="0.25">
      <c r="E153" s="30"/>
      <c r="F153" s="30"/>
      <c r="G153" s="30"/>
      <c r="H153" s="30"/>
    </row>
    <row r="154" spans="5:8" x14ac:dyDescent="0.25">
      <c r="E154" s="30"/>
      <c r="F154" s="30"/>
      <c r="G154" s="30"/>
      <c r="H154" s="30"/>
    </row>
    <row r="155" spans="5:8" x14ac:dyDescent="0.25">
      <c r="E155" s="30"/>
      <c r="F155" s="30"/>
      <c r="G155" s="30"/>
      <c r="H155" s="30"/>
    </row>
    <row r="156" spans="5:8" x14ac:dyDescent="0.25">
      <c r="E156" s="30"/>
      <c r="F156" s="30"/>
      <c r="G156" s="30"/>
      <c r="H156" s="30"/>
    </row>
    <row r="157" spans="5:8" x14ac:dyDescent="0.25">
      <c r="E157" s="30"/>
      <c r="F157" s="30"/>
      <c r="G157" s="30"/>
      <c r="H157" s="30"/>
    </row>
    <row r="158" spans="5:8" x14ac:dyDescent="0.25">
      <c r="E158" s="30"/>
      <c r="F158" s="30"/>
      <c r="G158" s="30"/>
      <c r="H158" s="30"/>
    </row>
    <row r="159" spans="5:8" x14ac:dyDescent="0.25">
      <c r="E159" s="30"/>
      <c r="F159" s="30"/>
      <c r="G159" s="30"/>
      <c r="H159" s="30"/>
    </row>
    <row r="160" spans="5:8" x14ac:dyDescent="0.25">
      <c r="E160" s="30"/>
      <c r="F160" s="30"/>
      <c r="G160" s="30"/>
      <c r="H160" s="30"/>
    </row>
    <row r="161" spans="5:8" x14ac:dyDescent="0.25">
      <c r="E161" s="30"/>
      <c r="F161" s="30"/>
      <c r="G161" s="30"/>
      <c r="H161" s="30"/>
    </row>
    <row r="162" spans="5:8" x14ac:dyDescent="0.25">
      <c r="E162" s="30"/>
      <c r="F162" s="30"/>
      <c r="G162" s="30"/>
      <c r="H162" s="30"/>
    </row>
    <row r="163" spans="5:8" x14ac:dyDescent="0.25">
      <c r="E163" s="30"/>
      <c r="F163" s="30"/>
      <c r="G163" s="30"/>
      <c r="H163" s="30"/>
    </row>
    <row r="164" spans="5:8" x14ac:dyDescent="0.25">
      <c r="E164" s="30"/>
      <c r="F164" s="30"/>
      <c r="G164" s="30"/>
      <c r="H164" s="30"/>
    </row>
    <row r="165" spans="5:8" x14ac:dyDescent="0.25">
      <c r="E165" s="30"/>
      <c r="F165" s="30"/>
      <c r="G165" s="30"/>
      <c r="H165" s="30"/>
    </row>
    <row r="166" spans="5:8" x14ac:dyDescent="0.25">
      <c r="E166" s="30"/>
      <c r="F166" s="30"/>
      <c r="G166" s="30"/>
      <c r="H166" s="30"/>
    </row>
    <row r="167" spans="5:8" x14ac:dyDescent="0.25">
      <c r="E167" s="30"/>
      <c r="F167" s="30"/>
      <c r="G167" s="30"/>
      <c r="H167" s="30"/>
    </row>
    <row r="168" spans="5:8" x14ac:dyDescent="0.25">
      <c r="E168" s="30"/>
      <c r="F168" s="30"/>
      <c r="G168" s="30"/>
      <c r="H168" s="30"/>
    </row>
    <row r="169" spans="5:8" x14ac:dyDescent="0.25">
      <c r="E169" s="30"/>
      <c r="F169" s="30"/>
      <c r="G169" s="30"/>
      <c r="H169" s="30"/>
    </row>
    <row r="170" spans="5:8" x14ac:dyDescent="0.25">
      <c r="E170" s="30"/>
      <c r="F170" s="30"/>
      <c r="G170" s="30"/>
      <c r="H170" s="30"/>
    </row>
    <row r="171" spans="5:8" x14ac:dyDescent="0.25">
      <c r="E171" s="30"/>
      <c r="F171" s="30"/>
      <c r="G171" s="30"/>
      <c r="H171" s="30"/>
    </row>
    <row r="172" spans="5:8" x14ac:dyDescent="0.25">
      <c r="E172" s="30"/>
      <c r="F172" s="30"/>
      <c r="G172" s="30"/>
      <c r="H172" s="30"/>
    </row>
    <row r="173" spans="5:8" x14ac:dyDescent="0.25">
      <c r="E173" s="30"/>
      <c r="F173" s="30"/>
      <c r="G173" s="30"/>
      <c r="H173" s="30"/>
    </row>
    <row r="174" spans="5:8" x14ac:dyDescent="0.25">
      <c r="E174" s="30"/>
      <c r="F174" s="30"/>
      <c r="G174" s="30"/>
      <c r="H174" s="30"/>
    </row>
    <row r="175" spans="5:8" x14ac:dyDescent="0.25">
      <c r="E175" s="30"/>
      <c r="F175" s="30"/>
      <c r="G175" s="30"/>
      <c r="H175" s="30"/>
    </row>
    <row r="176" spans="5:8" x14ac:dyDescent="0.25">
      <c r="E176" s="30"/>
      <c r="F176" s="30"/>
      <c r="G176" s="30"/>
      <c r="H176" s="30"/>
    </row>
    <row r="177" spans="5:8" x14ac:dyDescent="0.25">
      <c r="E177" s="30"/>
      <c r="F177" s="30"/>
      <c r="G177" s="30"/>
      <c r="H177" s="30"/>
    </row>
    <row r="178" spans="5:8" x14ac:dyDescent="0.25">
      <c r="E178" s="30"/>
      <c r="F178" s="30"/>
      <c r="G178" s="30"/>
      <c r="H178" s="30"/>
    </row>
    <row r="179" spans="5:8" x14ac:dyDescent="0.25">
      <c r="E179" s="30"/>
      <c r="F179" s="30"/>
      <c r="G179" s="30"/>
      <c r="H179" s="30"/>
    </row>
    <row r="180" spans="5:8" x14ac:dyDescent="0.25">
      <c r="E180" s="30"/>
      <c r="F180" s="30"/>
      <c r="G180" s="30"/>
      <c r="H180" s="30"/>
    </row>
    <row r="181" spans="5:8" x14ac:dyDescent="0.25">
      <c r="E181" s="30"/>
      <c r="F181" s="30"/>
      <c r="G181" s="30"/>
      <c r="H181" s="30"/>
    </row>
    <row r="182" spans="5:8" x14ac:dyDescent="0.25">
      <c r="E182" s="30"/>
      <c r="F182" s="30"/>
      <c r="G182" s="30"/>
      <c r="H182" s="30"/>
    </row>
    <row r="183" spans="5:8" x14ac:dyDescent="0.25">
      <c r="E183" s="30"/>
      <c r="F183" s="30"/>
      <c r="G183" s="30"/>
      <c r="H183" s="30"/>
    </row>
    <row r="184" spans="5:8" x14ac:dyDescent="0.25">
      <c r="E184" s="30"/>
      <c r="F184" s="30"/>
      <c r="G184" s="30"/>
      <c r="H184" s="30"/>
    </row>
    <row r="185" spans="5:8" x14ac:dyDescent="0.25">
      <c r="E185" s="30"/>
      <c r="F185" s="30"/>
      <c r="G185" s="30"/>
      <c r="H185" s="30"/>
    </row>
    <row r="186" spans="5:8" x14ac:dyDescent="0.25">
      <c r="E186" s="30"/>
      <c r="F186" s="30"/>
      <c r="G186" s="30"/>
      <c r="H186" s="30"/>
    </row>
    <row r="187" spans="5:8" x14ac:dyDescent="0.25">
      <c r="E187" s="30"/>
      <c r="F187" s="30"/>
      <c r="G187" s="30"/>
      <c r="H187" s="30"/>
    </row>
    <row r="188" spans="5:8" x14ac:dyDescent="0.25">
      <c r="E188" s="30"/>
      <c r="F188" s="30"/>
      <c r="G188" s="30"/>
      <c r="H188" s="30"/>
    </row>
    <row r="189" spans="5:8" x14ac:dyDescent="0.25">
      <c r="E189" s="30"/>
      <c r="F189" s="30"/>
      <c r="G189" s="30"/>
      <c r="H189" s="30"/>
    </row>
    <row r="190" spans="5:8" x14ac:dyDescent="0.25">
      <c r="E190" s="30"/>
      <c r="F190" s="30"/>
      <c r="G190" s="30"/>
      <c r="H190" s="30"/>
    </row>
    <row r="191" spans="5:8" x14ac:dyDescent="0.25">
      <c r="E191" s="30"/>
      <c r="F191" s="30"/>
      <c r="G191" s="30"/>
      <c r="H191" s="30"/>
    </row>
    <row r="192" spans="5:8" x14ac:dyDescent="0.25">
      <c r="E192" s="30"/>
      <c r="F192" s="30"/>
      <c r="G192" s="30"/>
      <c r="H192" s="30"/>
    </row>
    <row r="193" spans="5:8" x14ac:dyDescent="0.25">
      <c r="E193" s="30"/>
      <c r="F193" s="30"/>
      <c r="G193" s="30"/>
      <c r="H193" s="30"/>
    </row>
    <row r="194" spans="5:8" x14ac:dyDescent="0.25">
      <c r="E194" s="30"/>
      <c r="F194" s="30"/>
      <c r="G194" s="30"/>
      <c r="H194" s="30"/>
    </row>
    <row r="195" spans="5:8" x14ac:dyDescent="0.25">
      <c r="E195" s="30"/>
      <c r="F195" s="30"/>
      <c r="G195" s="30"/>
      <c r="H195" s="30"/>
    </row>
    <row r="196" spans="5:8" x14ac:dyDescent="0.25">
      <c r="E196" s="30"/>
      <c r="F196" s="30"/>
      <c r="G196" s="30"/>
      <c r="H196" s="30"/>
    </row>
    <row r="197" spans="5:8" x14ac:dyDescent="0.25">
      <c r="E197" s="30"/>
      <c r="F197" s="30"/>
      <c r="G197" s="30"/>
      <c r="H197" s="30"/>
    </row>
    <row r="198" spans="5:8" x14ac:dyDescent="0.25">
      <c r="E198" s="30"/>
      <c r="F198" s="30"/>
      <c r="G198" s="30"/>
      <c r="H198" s="30"/>
    </row>
    <row r="199" spans="5:8" x14ac:dyDescent="0.25">
      <c r="E199" s="30"/>
      <c r="F199" s="30"/>
      <c r="G199" s="30"/>
      <c r="H199" s="30"/>
    </row>
    <row r="200" spans="5:8" x14ac:dyDescent="0.25">
      <c r="E200" s="30"/>
      <c r="F200" s="30"/>
      <c r="G200" s="30"/>
      <c r="H200" s="30"/>
    </row>
    <row r="201" spans="5:8" x14ac:dyDescent="0.25">
      <c r="E201" s="30"/>
      <c r="F201" s="30"/>
      <c r="G201" s="30"/>
      <c r="H201" s="30"/>
    </row>
    <row r="202" spans="5:8" x14ac:dyDescent="0.25">
      <c r="E202" s="30"/>
      <c r="F202" s="30"/>
      <c r="G202" s="30"/>
      <c r="H202" s="30"/>
    </row>
    <row r="203" spans="5:8" x14ac:dyDescent="0.25">
      <c r="E203" s="30"/>
      <c r="F203" s="30"/>
      <c r="G203" s="30"/>
      <c r="H203" s="30"/>
    </row>
    <row r="204" spans="5:8" x14ac:dyDescent="0.25">
      <c r="E204" s="30"/>
      <c r="F204" s="30"/>
      <c r="G204" s="30"/>
      <c r="H204" s="30"/>
    </row>
    <row r="205" spans="5:8" x14ac:dyDescent="0.25">
      <c r="E205" s="30"/>
      <c r="F205" s="30"/>
      <c r="G205" s="30"/>
      <c r="H205" s="30"/>
    </row>
    <row r="206" spans="5:8" x14ac:dyDescent="0.25">
      <c r="E206" s="30"/>
      <c r="F206" s="30"/>
      <c r="G206" s="30"/>
      <c r="H206" s="30"/>
    </row>
    <row r="207" spans="5:8" x14ac:dyDescent="0.25">
      <c r="E207" s="30"/>
      <c r="F207" s="30"/>
      <c r="G207" s="30"/>
      <c r="H207" s="30"/>
    </row>
    <row r="208" spans="5:8" x14ac:dyDescent="0.25">
      <c r="E208" s="30"/>
      <c r="F208" s="30"/>
      <c r="G208" s="30"/>
      <c r="H208" s="30"/>
    </row>
    <row r="209" spans="5:8" x14ac:dyDescent="0.25">
      <c r="E209" s="30"/>
      <c r="F209" s="30"/>
      <c r="G209" s="30"/>
      <c r="H209" s="30"/>
    </row>
    <row r="210" spans="5:8" x14ac:dyDescent="0.25">
      <c r="E210" s="30"/>
      <c r="F210" s="30"/>
      <c r="G210" s="30"/>
      <c r="H210" s="30"/>
    </row>
    <row r="211" spans="5:8" x14ac:dyDescent="0.25">
      <c r="E211" s="30"/>
      <c r="F211" s="30"/>
      <c r="G211" s="30"/>
      <c r="H211" s="30"/>
    </row>
    <row r="212" spans="5:8" x14ac:dyDescent="0.25">
      <c r="E212" s="30"/>
      <c r="F212" s="30"/>
      <c r="G212" s="30"/>
      <c r="H212" s="30"/>
    </row>
    <row r="213" spans="5:8" x14ac:dyDescent="0.25">
      <c r="E213" s="30"/>
      <c r="F213" s="30"/>
      <c r="G213" s="30"/>
      <c r="H213" s="30"/>
    </row>
    <row r="214" spans="5:8" x14ac:dyDescent="0.25">
      <c r="E214" s="30"/>
      <c r="F214" s="30"/>
      <c r="G214" s="30"/>
      <c r="H214" s="30"/>
    </row>
    <row r="215" spans="5:8" x14ac:dyDescent="0.25">
      <c r="E215" s="30"/>
      <c r="F215" s="30"/>
      <c r="G215" s="30"/>
      <c r="H215" s="30"/>
    </row>
  </sheetData>
  <mergeCells count="50">
    <mergeCell ref="A58:J58"/>
    <mergeCell ref="B3:B6"/>
    <mergeCell ref="B10:B12"/>
    <mergeCell ref="B13:B14"/>
    <mergeCell ref="B17:B19"/>
    <mergeCell ref="A13:A14"/>
    <mergeCell ref="A34:A40"/>
    <mergeCell ref="A53:A56"/>
    <mergeCell ref="A8:K8"/>
    <mergeCell ref="A16:K16"/>
    <mergeCell ref="A15:J15"/>
    <mergeCell ref="A21:J21"/>
    <mergeCell ref="H66:J66"/>
    <mergeCell ref="H67:J67"/>
    <mergeCell ref="A10:A12"/>
    <mergeCell ref="A17:A19"/>
    <mergeCell ref="B48:B50"/>
    <mergeCell ref="A48:A50"/>
    <mergeCell ref="B53:B56"/>
    <mergeCell ref="B23:B30"/>
    <mergeCell ref="A23:A30"/>
    <mergeCell ref="B34:B40"/>
    <mergeCell ref="H78:J78"/>
    <mergeCell ref="H79:J79"/>
    <mergeCell ref="H68:J68"/>
    <mergeCell ref="H69:J69"/>
    <mergeCell ref="H70:J70"/>
    <mergeCell ref="H71:J71"/>
    <mergeCell ref="H72:J72"/>
    <mergeCell ref="H73:J73"/>
    <mergeCell ref="H5:J5"/>
    <mergeCell ref="A22:K22"/>
    <mergeCell ref="H74:J74"/>
    <mergeCell ref="H75:J75"/>
    <mergeCell ref="H76:J76"/>
    <mergeCell ref="H77:J77"/>
    <mergeCell ref="A59:J59"/>
    <mergeCell ref="H63:J63"/>
    <mergeCell ref="H64:J64"/>
    <mergeCell ref="H65:J65"/>
    <mergeCell ref="A1:K1"/>
    <mergeCell ref="A3:A6"/>
    <mergeCell ref="C3:C6"/>
    <mergeCell ref="D3:D6"/>
    <mergeCell ref="E3:J3"/>
    <mergeCell ref="K3:K6"/>
    <mergeCell ref="E4:E6"/>
    <mergeCell ref="F4:J4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M142"/>
  <sheetViews>
    <sheetView topLeftCell="A3" zoomScale="85" zoomScaleNormal="85" zoomScaleSheetLayoutView="85" zoomScalePageLayoutView="115" workbookViewId="0">
      <pane ySplit="6" topLeftCell="A9" activePane="bottomLeft" state="frozen"/>
      <selection activeCell="A3" sqref="A3"/>
      <selection pane="bottomLeft" activeCell="B103" sqref="B103:B105"/>
    </sheetView>
  </sheetViews>
  <sheetFormatPr defaultRowHeight="15" x14ac:dyDescent="0.25"/>
  <cols>
    <col min="1" max="1" width="8.85546875" style="14" customWidth="1"/>
    <col min="2" max="2" width="46" style="2" customWidth="1"/>
    <col min="3" max="3" width="13.7109375" style="2" customWidth="1"/>
    <col min="4" max="4" width="15.7109375" style="2" customWidth="1"/>
    <col min="5" max="5" width="11.28515625" style="2" customWidth="1"/>
    <col min="6" max="7" width="12.7109375" style="2" bestFit="1" customWidth="1"/>
    <col min="8" max="8" width="11.5703125" style="2" customWidth="1"/>
    <col min="9" max="9" width="35.7109375" style="2" customWidth="1"/>
    <col min="10" max="10" width="8.85546875" style="2" customWidth="1"/>
    <col min="11" max="12" width="9.42578125" style="2" bestFit="1" customWidth="1"/>
    <col min="13" max="13" width="12.140625" style="2" customWidth="1"/>
    <col min="14" max="16384" width="9.140625" style="2"/>
  </cols>
  <sheetData>
    <row r="1" spans="1:13" ht="53.25" hidden="1" customHeight="1" x14ac:dyDescent="0.25">
      <c r="I1" s="13"/>
      <c r="J1" s="157" t="s">
        <v>125</v>
      </c>
      <c r="K1" s="158"/>
      <c r="L1" s="158"/>
      <c r="M1" s="159"/>
    </row>
    <row r="2" spans="1:13" ht="9" hidden="1" customHeight="1" x14ac:dyDescent="0.25">
      <c r="J2" s="13"/>
      <c r="K2" s="13"/>
      <c r="L2" s="13"/>
      <c r="M2" s="13"/>
    </row>
    <row r="3" spans="1:13" s="6" customFormat="1" ht="16.5" customHeight="1" x14ac:dyDescent="0.3">
      <c r="A3" s="160" t="s">
        <v>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9" customHeight="1" x14ac:dyDescent="0.25"/>
    <row r="5" spans="1:13" ht="15.75" customHeight="1" x14ac:dyDescent="0.25">
      <c r="A5" s="162" t="s">
        <v>0</v>
      </c>
      <c r="B5" s="161" t="s">
        <v>46</v>
      </c>
      <c r="C5" s="161" t="s">
        <v>2</v>
      </c>
      <c r="D5" s="161" t="s">
        <v>3</v>
      </c>
      <c r="E5" s="161" t="s">
        <v>4</v>
      </c>
      <c r="F5" s="161"/>
      <c r="G5" s="161"/>
      <c r="H5" s="161"/>
      <c r="I5" s="161" t="s">
        <v>5</v>
      </c>
      <c r="J5" s="161"/>
      <c r="K5" s="161"/>
      <c r="L5" s="161"/>
      <c r="M5" s="161"/>
    </row>
    <row r="6" spans="1:13" x14ac:dyDescent="0.25">
      <c r="A6" s="162"/>
      <c r="B6" s="161"/>
      <c r="C6" s="161"/>
      <c r="D6" s="161"/>
      <c r="E6" s="161" t="s">
        <v>6</v>
      </c>
      <c r="F6" s="161" t="s">
        <v>7</v>
      </c>
      <c r="G6" s="161"/>
      <c r="H6" s="161"/>
      <c r="I6" s="161"/>
      <c r="J6" s="161"/>
      <c r="K6" s="161"/>
      <c r="L6" s="161"/>
      <c r="M6" s="161"/>
    </row>
    <row r="7" spans="1:13" x14ac:dyDescent="0.25">
      <c r="A7" s="162"/>
      <c r="B7" s="161"/>
      <c r="C7" s="161"/>
      <c r="D7" s="161"/>
      <c r="E7" s="161"/>
      <c r="F7" s="1">
        <v>2014</v>
      </c>
      <c r="G7" s="1">
        <v>2015</v>
      </c>
      <c r="H7" s="1">
        <v>2016</v>
      </c>
      <c r="I7" s="1" t="s">
        <v>1</v>
      </c>
      <c r="J7" s="1" t="s">
        <v>8</v>
      </c>
      <c r="K7" s="1">
        <v>2014</v>
      </c>
      <c r="L7" s="1">
        <v>2015</v>
      </c>
      <c r="M7" s="1">
        <v>2016</v>
      </c>
    </row>
    <row r="8" spans="1:13" ht="12" customHeight="1" x14ac:dyDescent="0.25">
      <c r="A8" s="15">
        <v>1</v>
      </c>
      <c r="B8" s="1">
        <v>2</v>
      </c>
      <c r="C8" s="1">
        <v>3</v>
      </c>
      <c r="D8" s="1"/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</row>
    <row r="9" spans="1:13" ht="27" customHeight="1" x14ac:dyDescent="0.25">
      <c r="A9" s="146" t="s">
        <v>47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x14ac:dyDescent="0.25">
      <c r="A10" s="16"/>
      <c r="B10" s="146" t="s">
        <v>131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s="6" customFormat="1" ht="14.25" customHeight="1" x14ac:dyDescent="0.2">
      <c r="A11" s="117" t="s">
        <v>132</v>
      </c>
      <c r="B11" s="120" t="s">
        <v>130</v>
      </c>
      <c r="C11" s="146"/>
      <c r="D11" s="3" t="s">
        <v>6</v>
      </c>
      <c r="E11" s="7">
        <f>SUM(F11:H11)</f>
        <v>2841925</v>
      </c>
      <c r="F11" s="7">
        <f>SUM(F12:F13)</f>
        <v>1256095</v>
      </c>
      <c r="G11" s="7">
        <f>SUM(G12:G13)</f>
        <v>785830</v>
      </c>
      <c r="H11" s="7">
        <f>SUM(H12:H13)</f>
        <v>800000</v>
      </c>
      <c r="I11" s="132" t="s">
        <v>100</v>
      </c>
      <c r="J11" s="129" t="s">
        <v>9</v>
      </c>
      <c r="K11" s="129" t="s">
        <v>101</v>
      </c>
      <c r="L11" s="129" t="s">
        <v>102</v>
      </c>
      <c r="M11" s="114" t="s">
        <v>102</v>
      </c>
    </row>
    <row r="12" spans="1:13" s="6" customFormat="1" ht="14.25" customHeight="1" x14ac:dyDescent="0.2">
      <c r="A12" s="140"/>
      <c r="B12" s="138"/>
      <c r="C12" s="146"/>
      <c r="D12" s="3" t="s">
        <v>10</v>
      </c>
      <c r="E12" s="7">
        <f t="shared" ref="E12:E49" si="0">SUM(F12:H12)</f>
        <v>0</v>
      </c>
      <c r="F12" s="7">
        <f t="shared" ref="F12:H13" si="1">F18+F21</f>
        <v>0</v>
      </c>
      <c r="G12" s="7">
        <f t="shared" si="1"/>
        <v>0</v>
      </c>
      <c r="H12" s="7">
        <f t="shared" si="1"/>
        <v>0</v>
      </c>
      <c r="I12" s="133"/>
      <c r="J12" s="130"/>
      <c r="K12" s="130"/>
      <c r="L12" s="130"/>
      <c r="M12" s="115"/>
    </row>
    <row r="13" spans="1:13" s="6" customFormat="1" ht="14.25" customHeight="1" x14ac:dyDescent="0.2">
      <c r="A13" s="141"/>
      <c r="B13" s="139"/>
      <c r="C13" s="146"/>
      <c r="D13" s="3" t="s">
        <v>11</v>
      </c>
      <c r="E13" s="7">
        <f t="shared" si="0"/>
        <v>2841925</v>
      </c>
      <c r="F13" s="7">
        <f t="shared" si="1"/>
        <v>1256095</v>
      </c>
      <c r="G13" s="7">
        <f t="shared" si="1"/>
        <v>785830</v>
      </c>
      <c r="H13" s="7">
        <f t="shared" si="1"/>
        <v>800000</v>
      </c>
      <c r="I13" s="134"/>
      <c r="J13" s="131"/>
      <c r="K13" s="131"/>
      <c r="L13" s="131"/>
      <c r="M13" s="116"/>
    </row>
    <row r="14" spans="1:13" s="6" customFormat="1" ht="14.25" customHeight="1" x14ac:dyDescent="0.2">
      <c r="A14" s="117" t="s">
        <v>104</v>
      </c>
      <c r="B14" s="120" t="s">
        <v>61</v>
      </c>
      <c r="C14" s="123"/>
      <c r="D14" s="3" t="s">
        <v>6</v>
      </c>
      <c r="E14" s="7">
        <v>2841925</v>
      </c>
      <c r="F14" s="7">
        <v>1256095</v>
      </c>
      <c r="G14" s="7">
        <v>785830</v>
      </c>
      <c r="H14" s="7">
        <v>800000</v>
      </c>
      <c r="I14" s="126" t="s">
        <v>100</v>
      </c>
      <c r="J14" s="129" t="s">
        <v>9</v>
      </c>
      <c r="K14" s="129" t="s">
        <v>101</v>
      </c>
      <c r="L14" s="129" t="s">
        <v>102</v>
      </c>
      <c r="M14" s="114" t="s">
        <v>102</v>
      </c>
    </row>
    <row r="15" spans="1:13" s="6" customFormat="1" ht="14.25" customHeight="1" x14ac:dyDescent="0.2">
      <c r="A15" s="118"/>
      <c r="B15" s="121"/>
      <c r="C15" s="124"/>
      <c r="D15" s="3" t="s">
        <v>10</v>
      </c>
      <c r="E15" s="7">
        <v>0</v>
      </c>
      <c r="F15" s="7">
        <v>0</v>
      </c>
      <c r="G15" s="7">
        <v>0</v>
      </c>
      <c r="H15" s="7">
        <v>0</v>
      </c>
      <c r="I15" s="127"/>
      <c r="J15" s="130"/>
      <c r="K15" s="130"/>
      <c r="L15" s="130"/>
      <c r="M15" s="115"/>
    </row>
    <row r="16" spans="1:13" s="6" customFormat="1" ht="14.25" customHeight="1" x14ac:dyDescent="0.2">
      <c r="A16" s="119"/>
      <c r="B16" s="122"/>
      <c r="C16" s="125"/>
      <c r="D16" s="3" t="s">
        <v>11</v>
      </c>
      <c r="E16" s="7">
        <v>2841925</v>
      </c>
      <c r="F16" s="7">
        <v>1256095</v>
      </c>
      <c r="G16" s="7">
        <v>785830</v>
      </c>
      <c r="H16" s="7">
        <v>800000</v>
      </c>
      <c r="I16" s="128"/>
      <c r="J16" s="131"/>
      <c r="K16" s="131"/>
      <c r="L16" s="131"/>
      <c r="M16" s="116"/>
    </row>
    <row r="17" spans="1:13" ht="25.5" customHeight="1" x14ac:dyDescent="0.25">
      <c r="A17" s="135" t="s">
        <v>48</v>
      </c>
      <c r="B17" s="163" t="s">
        <v>12</v>
      </c>
      <c r="C17" s="145" t="s">
        <v>75</v>
      </c>
      <c r="D17" s="3" t="s">
        <v>6</v>
      </c>
      <c r="E17" s="7">
        <f>SUM(F17:H17)</f>
        <v>480000</v>
      </c>
      <c r="F17" s="7">
        <f>SUM(F18:F19)</f>
        <v>200000</v>
      </c>
      <c r="G17" s="7">
        <f>SUM(G18:G19)</f>
        <v>100000</v>
      </c>
      <c r="H17" s="19">
        <v>180000</v>
      </c>
      <c r="I17" s="132" t="s">
        <v>13</v>
      </c>
      <c r="J17" s="129" t="s">
        <v>9</v>
      </c>
      <c r="K17" s="129">
        <v>100</v>
      </c>
      <c r="L17" s="129">
        <v>100</v>
      </c>
      <c r="M17" s="129">
        <v>100</v>
      </c>
    </row>
    <row r="18" spans="1:13" ht="25.5" customHeight="1" x14ac:dyDescent="0.25">
      <c r="A18" s="136"/>
      <c r="B18" s="163"/>
      <c r="C18" s="145"/>
      <c r="D18" s="4" t="s">
        <v>10</v>
      </c>
      <c r="E18" s="5">
        <f t="shared" si="0"/>
        <v>0</v>
      </c>
      <c r="F18" s="5">
        <v>0</v>
      </c>
      <c r="G18" s="5">
        <v>0</v>
      </c>
      <c r="H18" s="5">
        <v>0</v>
      </c>
      <c r="I18" s="133"/>
      <c r="J18" s="130"/>
      <c r="K18" s="130"/>
      <c r="L18" s="130"/>
      <c r="M18" s="130"/>
    </row>
    <row r="19" spans="1:13" ht="25.5" customHeight="1" x14ac:dyDescent="0.25">
      <c r="A19" s="137"/>
      <c r="B19" s="163"/>
      <c r="C19" s="145"/>
      <c r="D19" s="4" t="s">
        <v>11</v>
      </c>
      <c r="E19" s="5">
        <f t="shared" si="0"/>
        <v>480000</v>
      </c>
      <c r="F19" s="5">
        <v>200000</v>
      </c>
      <c r="G19" s="5">
        <v>100000</v>
      </c>
      <c r="H19" s="18">
        <v>180000</v>
      </c>
      <c r="I19" s="134"/>
      <c r="J19" s="131"/>
      <c r="K19" s="131"/>
      <c r="L19" s="131"/>
      <c r="M19" s="131"/>
    </row>
    <row r="20" spans="1:13" ht="30" customHeight="1" x14ac:dyDescent="0.25">
      <c r="A20" s="135" t="s">
        <v>49</v>
      </c>
      <c r="B20" s="163" t="s">
        <v>14</v>
      </c>
      <c r="C20" s="145" t="s">
        <v>75</v>
      </c>
      <c r="D20" s="3" t="s">
        <v>6</v>
      </c>
      <c r="E20" s="7">
        <f>SUM(F20:H20)</f>
        <v>2361925</v>
      </c>
      <c r="F20" s="7">
        <f>SUM(F21:F22)</f>
        <v>1056095</v>
      </c>
      <c r="G20" s="7">
        <f>SUM(G21:G22)</f>
        <v>685830</v>
      </c>
      <c r="H20" s="7">
        <v>620000</v>
      </c>
      <c r="I20" s="132" t="s">
        <v>16</v>
      </c>
      <c r="J20" s="129" t="s">
        <v>77</v>
      </c>
      <c r="K20" s="129">
        <v>12</v>
      </c>
      <c r="L20" s="129">
        <v>16</v>
      </c>
      <c r="M20" s="129">
        <v>18</v>
      </c>
    </row>
    <row r="21" spans="1:13" ht="30" customHeight="1" x14ac:dyDescent="0.25">
      <c r="A21" s="136"/>
      <c r="B21" s="163"/>
      <c r="C21" s="145"/>
      <c r="D21" s="4" t="s">
        <v>10</v>
      </c>
      <c r="E21" s="5">
        <f t="shared" si="0"/>
        <v>0</v>
      </c>
      <c r="F21" s="5">
        <v>0</v>
      </c>
      <c r="G21" s="5">
        <v>0</v>
      </c>
      <c r="H21" s="5">
        <v>0</v>
      </c>
      <c r="I21" s="133"/>
      <c r="J21" s="130"/>
      <c r="K21" s="130"/>
      <c r="L21" s="130"/>
      <c r="M21" s="130"/>
    </row>
    <row r="22" spans="1:13" ht="30" customHeight="1" x14ac:dyDescent="0.25">
      <c r="A22" s="137"/>
      <c r="B22" s="163"/>
      <c r="C22" s="145"/>
      <c r="D22" s="4" t="s">
        <v>11</v>
      </c>
      <c r="E22" s="5">
        <f t="shared" si="0"/>
        <v>2361925</v>
      </c>
      <c r="F22" s="5">
        <v>1056095</v>
      </c>
      <c r="G22" s="5">
        <f>667330+18500</f>
        <v>685830</v>
      </c>
      <c r="H22" s="5">
        <v>620000</v>
      </c>
      <c r="I22" s="134"/>
      <c r="J22" s="131"/>
      <c r="K22" s="131"/>
      <c r="L22" s="131"/>
      <c r="M22" s="131"/>
    </row>
    <row r="23" spans="1:13" s="6" customFormat="1" ht="15" customHeight="1" x14ac:dyDescent="0.2">
      <c r="A23" s="117" t="s">
        <v>50</v>
      </c>
      <c r="B23" s="164" t="s">
        <v>17</v>
      </c>
      <c r="C23" s="146"/>
      <c r="D23" s="3" t="s">
        <v>6</v>
      </c>
      <c r="E23" s="7">
        <f>SUM(F23:H23)</f>
        <v>4491092</v>
      </c>
      <c r="F23" s="7">
        <f>SUM(F24:F25)</f>
        <v>3495102</v>
      </c>
      <c r="G23" s="7">
        <f>SUM(G24:G25)</f>
        <v>195000</v>
      </c>
      <c r="H23" s="7">
        <f>SUM(H24:H25)</f>
        <v>800990</v>
      </c>
      <c r="I23" s="132" t="s">
        <v>100</v>
      </c>
      <c r="J23" s="129" t="s">
        <v>9</v>
      </c>
      <c r="K23" s="129" t="s">
        <v>101</v>
      </c>
      <c r="L23" s="129" t="s">
        <v>102</v>
      </c>
      <c r="M23" s="129" t="s">
        <v>102</v>
      </c>
    </row>
    <row r="24" spans="1:13" s="6" customFormat="1" ht="15" customHeight="1" x14ac:dyDescent="0.2">
      <c r="A24" s="140"/>
      <c r="B24" s="166"/>
      <c r="C24" s="146"/>
      <c r="D24" s="3" t="s">
        <v>10</v>
      </c>
      <c r="E24" s="7">
        <f t="shared" si="0"/>
        <v>625000</v>
      </c>
      <c r="F24" s="7">
        <f t="shared" ref="F24:H25" si="2">F27+F30+F33+F36</f>
        <v>625000</v>
      </c>
      <c r="G24" s="7">
        <f t="shared" si="2"/>
        <v>0</v>
      </c>
      <c r="H24" s="7">
        <f t="shared" si="2"/>
        <v>0</v>
      </c>
      <c r="I24" s="133"/>
      <c r="J24" s="130"/>
      <c r="K24" s="130"/>
      <c r="L24" s="130"/>
      <c r="M24" s="130"/>
    </row>
    <row r="25" spans="1:13" s="6" customFormat="1" ht="15" customHeight="1" x14ac:dyDescent="0.2">
      <c r="A25" s="141"/>
      <c r="B25" s="166"/>
      <c r="C25" s="146"/>
      <c r="D25" s="3" t="s">
        <v>11</v>
      </c>
      <c r="E25" s="7">
        <f t="shared" si="0"/>
        <v>3866092</v>
      </c>
      <c r="F25" s="7">
        <f t="shared" si="2"/>
        <v>2870102</v>
      </c>
      <c r="G25" s="7">
        <f t="shared" si="2"/>
        <v>195000</v>
      </c>
      <c r="H25" s="7">
        <f t="shared" si="2"/>
        <v>800990</v>
      </c>
      <c r="I25" s="134"/>
      <c r="J25" s="131"/>
      <c r="K25" s="131"/>
      <c r="L25" s="131"/>
      <c r="M25" s="131"/>
    </row>
    <row r="26" spans="1:13" ht="14.25" customHeight="1" x14ac:dyDescent="0.25">
      <c r="A26" s="135" t="s">
        <v>52</v>
      </c>
      <c r="B26" s="163" t="s">
        <v>19</v>
      </c>
      <c r="C26" s="145" t="s">
        <v>15</v>
      </c>
      <c r="D26" s="3" t="s">
        <v>6</v>
      </c>
      <c r="E26" s="7">
        <f>SUM(F26:H26)</f>
        <v>212600</v>
      </c>
      <c r="F26" s="7">
        <f>SUM(F27:F28)</f>
        <v>212600</v>
      </c>
      <c r="G26" s="7">
        <f>SUM(G27:G28)</f>
        <v>0</v>
      </c>
      <c r="H26" s="7">
        <f>SUM(H27:H28)</f>
        <v>0</v>
      </c>
      <c r="I26" s="132" t="s">
        <v>20</v>
      </c>
      <c r="J26" s="129" t="s">
        <v>9</v>
      </c>
      <c r="K26" s="129">
        <v>100</v>
      </c>
      <c r="L26" s="129">
        <v>100</v>
      </c>
      <c r="M26" s="129">
        <v>100</v>
      </c>
    </row>
    <row r="27" spans="1:13" ht="14.25" customHeight="1" x14ac:dyDescent="0.25">
      <c r="A27" s="136"/>
      <c r="B27" s="163"/>
      <c r="C27" s="145"/>
      <c r="D27" s="4" t="s">
        <v>10</v>
      </c>
      <c r="E27" s="5">
        <f t="shared" si="0"/>
        <v>0</v>
      </c>
      <c r="F27" s="5">
        <v>0</v>
      </c>
      <c r="G27" s="5">
        <v>0</v>
      </c>
      <c r="H27" s="5">
        <v>0</v>
      </c>
      <c r="I27" s="133"/>
      <c r="J27" s="130"/>
      <c r="K27" s="130"/>
      <c r="L27" s="130"/>
      <c r="M27" s="130"/>
    </row>
    <row r="28" spans="1:13" ht="14.25" customHeight="1" x14ac:dyDescent="0.25">
      <c r="A28" s="137"/>
      <c r="B28" s="163"/>
      <c r="C28" s="145"/>
      <c r="D28" s="4" t="s">
        <v>11</v>
      </c>
      <c r="E28" s="5">
        <f t="shared" si="0"/>
        <v>212600</v>
      </c>
      <c r="F28" s="5">
        <v>212600</v>
      </c>
      <c r="G28" s="5">
        <v>0</v>
      </c>
      <c r="H28" s="5">
        <v>0</v>
      </c>
      <c r="I28" s="134"/>
      <c r="J28" s="131"/>
      <c r="K28" s="131"/>
      <c r="L28" s="131"/>
      <c r="M28" s="131"/>
    </row>
    <row r="29" spans="1:13" ht="18" customHeight="1" x14ac:dyDescent="0.25">
      <c r="A29" s="135" t="s">
        <v>53</v>
      </c>
      <c r="B29" s="165" t="s">
        <v>51</v>
      </c>
      <c r="C29" s="145" t="s">
        <v>76</v>
      </c>
      <c r="D29" s="3" t="s">
        <v>6</v>
      </c>
      <c r="E29" s="7">
        <f>SUM(F29:H29)</f>
        <v>575000</v>
      </c>
      <c r="F29" s="7">
        <f>SUM(F30:F31)</f>
        <v>180000</v>
      </c>
      <c r="G29" s="7">
        <f>SUM(G30:G31)</f>
        <v>195000</v>
      </c>
      <c r="H29" s="7">
        <v>200000</v>
      </c>
      <c r="I29" s="132" t="s">
        <v>18</v>
      </c>
      <c r="J29" s="129" t="s">
        <v>9</v>
      </c>
      <c r="K29" s="129">
        <v>100</v>
      </c>
      <c r="L29" s="129">
        <v>100</v>
      </c>
      <c r="M29" s="129">
        <v>100</v>
      </c>
    </row>
    <row r="30" spans="1:13" ht="18" customHeight="1" x14ac:dyDescent="0.25">
      <c r="A30" s="136"/>
      <c r="B30" s="165"/>
      <c r="C30" s="145"/>
      <c r="D30" s="4" t="s">
        <v>10</v>
      </c>
      <c r="E30" s="5">
        <f t="shared" si="0"/>
        <v>0</v>
      </c>
      <c r="F30" s="5">
        <v>0</v>
      </c>
      <c r="G30" s="5">
        <v>0</v>
      </c>
      <c r="H30" s="5">
        <v>0</v>
      </c>
      <c r="I30" s="133"/>
      <c r="J30" s="130"/>
      <c r="K30" s="130"/>
      <c r="L30" s="130"/>
      <c r="M30" s="130"/>
    </row>
    <row r="31" spans="1:13" ht="18" customHeight="1" x14ac:dyDescent="0.25">
      <c r="A31" s="137"/>
      <c r="B31" s="165"/>
      <c r="C31" s="145"/>
      <c r="D31" s="4" t="s">
        <v>11</v>
      </c>
      <c r="E31" s="5">
        <f t="shared" si="0"/>
        <v>575000</v>
      </c>
      <c r="F31" s="5">
        <v>180000</v>
      </c>
      <c r="G31" s="5">
        <v>195000</v>
      </c>
      <c r="H31" s="5">
        <v>200000</v>
      </c>
      <c r="I31" s="134"/>
      <c r="J31" s="131"/>
      <c r="K31" s="131"/>
      <c r="L31" s="131"/>
      <c r="M31" s="131"/>
    </row>
    <row r="32" spans="1:13" ht="21" customHeight="1" x14ac:dyDescent="0.25">
      <c r="A32" s="135" t="s">
        <v>54</v>
      </c>
      <c r="B32" s="163" t="s">
        <v>62</v>
      </c>
      <c r="C32" s="145" t="s">
        <v>103</v>
      </c>
      <c r="D32" s="3" t="s">
        <v>6</v>
      </c>
      <c r="E32" s="7">
        <f>SUM(F32:H32)</f>
        <v>2968492</v>
      </c>
      <c r="F32" s="7">
        <f>SUM(F33:F34)</f>
        <v>2652502</v>
      </c>
      <c r="G32" s="7">
        <f>SUM(G33:G34)</f>
        <v>0</v>
      </c>
      <c r="H32" s="7">
        <v>315990</v>
      </c>
      <c r="I32" s="132" t="s">
        <v>95</v>
      </c>
      <c r="J32" s="129" t="s">
        <v>9</v>
      </c>
      <c r="K32" s="129">
        <v>100</v>
      </c>
      <c r="L32" s="129">
        <v>100</v>
      </c>
      <c r="M32" s="129">
        <v>100</v>
      </c>
    </row>
    <row r="33" spans="1:13" ht="21" customHeight="1" x14ac:dyDescent="0.25">
      <c r="A33" s="136"/>
      <c r="B33" s="163"/>
      <c r="C33" s="145"/>
      <c r="D33" s="4" t="s">
        <v>10</v>
      </c>
      <c r="E33" s="5">
        <f t="shared" si="0"/>
        <v>625000</v>
      </c>
      <c r="F33" s="5">
        <f>625000</f>
        <v>625000</v>
      </c>
      <c r="G33" s="5">
        <v>0</v>
      </c>
      <c r="H33" s="5">
        <v>0</v>
      </c>
      <c r="I33" s="133"/>
      <c r="J33" s="130"/>
      <c r="K33" s="130"/>
      <c r="L33" s="130"/>
      <c r="M33" s="130"/>
    </row>
    <row r="34" spans="1:13" ht="21" customHeight="1" x14ac:dyDescent="0.25">
      <c r="A34" s="137"/>
      <c r="B34" s="163"/>
      <c r="C34" s="145"/>
      <c r="D34" s="4" t="s">
        <v>11</v>
      </c>
      <c r="E34" s="5">
        <f t="shared" si="0"/>
        <v>2343492</v>
      </c>
      <c r="F34" s="5">
        <v>2027502</v>
      </c>
      <c r="G34" s="5">
        <v>0</v>
      </c>
      <c r="H34" s="5">
        <v>315990</v>
      </c>
      <c r="I34" s="134"/>
      <c r="J34" s="131"/>
      <c r="K34" s="131"/>
      <c r="L34" s="131"/>
      <c r="M34" s="131"/>
    </row>
    <row r="35" spans="1:13" ht="21" customHeight="1" x14ac:dyDescent="0.25">
      <c r="A35" s="135" t="s">
        <v>55</v>
      </c>
      <c r="B35" s="163" t="s">
        <v>63</v>
      </c>
      <c r="C35" s="145" t="s">
        <v>75</v>
      </c>
      <c r="D35" s="3" t="s">
        <v>6</v>
      </c>
      <c r="E35" s="7">
        <f>SUM(F35:H35)</f>
        <v>735000</v>
      </c>
      <c r="F35" s="7">
        <f>SUM(F36:F37)</f>
        <v>450000</v>
      </c>
      <c r="G35" s="7">
        <f>SUM(G36:G37)</f>
        <v>0</v>
      </c>
      <c r="H35" s="7">
        <v>285000</v>
      </c>
      <c r="I35" s="132" t="s">
        <v>95</v>
      </c>
      <c r="J35" s="129" t="s">
        <v>9</v>
      </c>
      <c r="K35" s="129">
        <v>100</v>
      </c>
      <c r="L35" s="129">
        <v>100</v>
      </c>
      <c r="M35" s="129">
        <v>100</v>
      </c>
    </row>
    <row r="36" spans="1:13" ht="21" customHeight="1" x14ac:dyDescent="0.25">
      <c r="A36" s="136"/>
      <c r="B36" s="163"/>
      <c r="C36" s="145"/>
      <c r="D36" s="4" t="s">
        <v>10</v>
      </c>
      <c r="E36" s="5">
        <f t="shared" si="0"/>
        <v>0</v>
      </c>
      <c r="F36" s="5">
        <v>0</v>
      </c>
      <c r="G36" s="5">
        <v>0</v>
      </c>
      <c r="H36" s="5">
        <v>0</v>
      </c>
      <c r="I36" s="133"/>
      <c r="J36" s="130"/>
      <c r="K36" s="130"/>
      <c r="L36" s="130"/>
      <c r="M36" s="130"/>
    </row>
    <row r="37" spans="1:13" ht="21" customHeight="1" x14ac:dyDescent="0.25">
      <c r="A37" s="137"/>
      <c r="B37" s="163"/>
      <c r="C37" s="145"/>
      <c r="D37" s="4" t="s">
        <v>11</v>
      </c>
      <c r="E37" s="5">
        <f t="shared" si="0"/>
        <v>735000</v>
      </c>
      <c r="F37" s="5">
        <v>450000</v>
      </c>
      <c r="G37" s="5">
        <v>0</v>
      </c>
      <c r="H37" s="5">
        <v>285000</v>
      </c>
      <c r="I37" s="134"/>
      <c r="J37" s="131"/>
      <c r="K37" s="131"/>
      <c r="L37" s="131"/>
      <c r="M37" s="131"/>
    </row>
    <row r="38" spans="1:13" s="6" customFormat="1" ht="13.5" customHeight="1" x14ac:dyDescent="0.2">
      <c r="A38" s="117" t="s">
        <v>56</v>
      </c>
      <c r="B38" s="164" t="s">
        <v>21</v>
      </c>
      <c r="C38" s="146"/>
      <c r="D38" s="3" t="s">
        <v>6</v>
      </c>
      <c r="E38" s="7">
        <f>SUM(F38:H38)</f>
        <v>2420000</v>
      </c>
      <c r="F38" s="7">
        <f>SUM(F39:F40)</f>
        <v>520000</v>
      </c>
      <c r="G38" s="7">
        <f>SUM(G39:G40)</f>
        <v>1600000</v>
      </c>
      <c r="H38" s="7">
        <f>SUM(H39:H40)</f>
        <v>300000</v>
      </c>
      <c r="I38" s="132" t="s">
        <v>100</v>
      </c>
      <c r="J38" s="129" t="s">
        <v>9</v>
      </c>
      <c r="K38" s="129" t="s">
        <v>101</v>
      </c>
      <c r="L38" s="129" t="s">
        <v>102</v>
      </c>
      <c r="M38" s="129" t="s">
        <v>102</v>
      </c>
    </row>
    <row r="39" spans="1:13" s="6" customFormat="1" ht="13.5" customHeight="1" x14ac:dyDescent="0.2">
      <c r="A39" s="140"/>
      <c r="B39" s="166"/>
      <c r="C39" s="146"/>
      <c r="D39" s="3" t="s">
        <v>10</v>
      </c>
      <c r="E39" s="5">
        <f t="shared" si="0"/>
        <v>0</v>
      </c>
      <c r="F39" s="5">
        <f t="shared" ref="F39:H40" si="3">F42</f>
        <v>0</v>
      </c>
      <c r="G39" s="5">
        <f t="shared" si="3"/>
        <v>0</v>
      </c>
      <c r="H39" s="5">
        <f t="shared" si="3"/>
        <v>0</v>
      </c>
      <c r="I39" s="133"/>
      <c r="J39" s="130"/>
      <c r="K39" s="130"/>
      <c r="L39" s="130"/>
      <c r="M39" s="130"/>
    </row>
    <row r="40" spans="1:13" s="6" customFormat="1" ht="13.5" customHeight="1" x14ac:dyDescent="0.2">
      <c r="A40" s="141"/>
      <c r="B40" s="166"/>
      <c r="C40" s="146"/>
      <c r="D40" s="3" t="s">
        <v>11</v>
      </c>
      <c r="E40" s="5">
        <f t="shared" si="0"/>
        <v>2420000</v>
      </c>
      <c r="F40" s="5">
        <f t="shared" si="3"/>
        <v>520000</v>
      </c>
      <c r="G40" s="5">
        <f t="shared" si="3"/>
        <v>1600000</v>
      </c>
      <c r="H40" s="5">
        <f t="shared" si="3"/>
        <v>300000</v>
      </c>
      <c r="I40" s="134"/>
      <c r="J40" s="131"/>
      <c r="K40" s="131"/>
      <c r="L40" s="131"/>
      <c r="M40" s="131"/>
    </row>
    <row r="41" spans="1:13" ht="21" customHeight="1" x14ac:dyDescent="0.25">
      <c r="A41" s="135" t="s">
        <v>57</v>
      </c>
      <c r="B41" s="165" t="s">
        <v>21</v>
      </c>
      <c r="C41" s="145" t="s">
        <v>75</v>
      </c>
      <c r="D41" s="3" t="s">
        <v>6</v>
      </c>
      <c r="E41" s="7">
        <f>SUM(F41:H41)</f>
        <v>2420000</v>
      </c>
      <c r="F41" s="7">
        <f>SUM(F42:F43)</f>
        <v>520000</v>
      </c>
      <c r="G41" s="7">
        <f>SUM(G42:G43)</f>
        <v>1600000</v>
      </c>
      <c r="H41" s="7">
        <f>SUM(H42:H43)</f>
        <v>300000</v>
      </c>
      <c r="I41" s="132" t="s">
        <v>95</v>
      </c>
      <c r="J41" s="129" t="s">
        <v>9</v>
      </c>
      <c r="K41" s="129">
        <v>100</v>
      </c>
      <c r="L41" s="129">
        <v>100</v>
      </c>
      <c r="M41" s="129">
        <v>100</v>
      </c>
    </row>
    <row r="42" spans="1:13" ht="21" customHeight="1" x14ac:dyDescent="0.25">
      <c r="A42" s="136"/>
      <c r="B42" s="165"/>
      <c r="C42" s="145"/>
      <c r="D42" s="4" t="s">
        <v>10</v>
      </c>
      <c r="E42" s="5">
        <f t="shared" si="0"/>
        <v>0</v>
      </c>
      <c r="F42" s="5">
        <v>0</v>
      </c>
      <c r="G42" s="5">
        <v>0</v>
      </c>
      <c r="H42" s="5">
        <v>0</v>
      </c>
      <c r="I42" s="133"/>
      <c r="J42" s="130"/>
      <c r="K42" s="130"/>
      <c r="L42" s="130"/>
      <c r="M42" s="130"/>
    </row>
    <row r="43" spans="1:13" ht="21" customHeight="1" x14ac:dyDescent="0.25">
      <c r="A43" s="137"/>
      <c r="B43" s="165"/>
      <c r="C43" s="145"/>
      <c r="D43" s="4" t="s">
        <v>11</v>
      </c>
      <c r="E43" s="5">
        <f t="shared" si="0"/>
        <v>2420000</v>
      </c>
      <c r="F43" s="5">
        <v>520000</v>
      </c>
      <c r="G43" s="5">
        <v>1600000</v>
      </c>
      <c r="H43" s="5">
        <v>300000</v>
      </c>
      <c r="I43" s="134"/>
      <c r="J43" s="131"/>
      <c r="K43" s="131"/>
      <c r="L43" s="131"/>
      <c r="M43" s="131"/>
    </row>
    <row r="44" spans="1:13" s="6" customFormat="1" ht="29.25" customHeight="1" x14ac:dyDescent="0.2">
      <c r="A44" s="117" t="s">
        <v>58</v>
      </c>
      <c r="B44" s="164" t="s">
        <v>22</v>
      </c>
      <c r="C44" s="146"/>
      <c r="D44" s="3" t="s">
        <v>6</v>
      </c>
      <c r="E44" s="7">
        <f>SUM(F44:H44)</f>
        <v>835100</v>
      </c>
      <c r="F44" s="7">
        <f>SUM(F45:F46)</f>
        <v>0</v>
      </c>
      <c r="G44" s="7">
        <f>SUM(G45:G46)</f>
        <v>835100</v>
      </c>
      <c r="H44" s="7">
        <f>SUM(H45:H46)</f>
        <v>0</v>
      </c>
      <c r="I44" s="132" t="s">
        <v>100</v>
      </c>
      <c r="J44" s="129" t="s">
        <v>9</v>
      </c>
      <c r="K44" s="129" t="s">
        <v>101</v>
      </c>
      <c r="L44" s="129" t="s">
        <v>102</v>
      </c>
      <c r="M44" s="129" t="s">
        <v>102</v>
      </c>
    </row>
    <row r="45" spans="1:13" s="6" customFormat="1" ht="29.25" customHeight="1" x14ac:dyDescent="0.2">
      <c r="A45" s="140"/>
      <c r="B45" s="164"/>
      <c r="C45" s="146"/>
      <c r="D45" s="3" t="s">
        <v>10</v>
      </c>
      <c r="E45" s="5">
        <f t="shared" si="0"/>
        <v>535100</v>
      </c>
      <c r="F45" s="5">
        <f t="shared" ref="F45:H46" si="4">F48</f>
        <v>0</v>
      </c>
      <c r="G45" s="5">
        <f t="shared" si="4"/>
        <v>535100</v>
      </c>
      <c r="H45" s="5">
        <f t="shared" si="4"/>
        <v>0</v>
      </c>
      <c r="I45" s="133"/>
      <c r="J45" s="130"/>
      <c r="K45" s="130"/>
      <c r="L45" s="130"/>
      <c r="M45" s="130"/>
    </row>
    <row r="46" spans="1:13" s="6" customFormat="1" ht="24.75" customHeight="1" x14ac:dyDescent="0.2">
      <c r="A46" s="141"/>
      <c r="B46" s="164"/>
      <c r="C46" s="146"/>
      <c r="D46" s="3" t="s">
        <v>11</v>
      </c>
      <c r="E46" s="5">
        <f t="shared" si="0"/>
        <v>300000</v>
      </c>
      <c r="F46" s="5">
        <f t="shared" si="4"/>
        <v>0</v>
      </c>
      <c r="G46" s="5">
        <f t="shared" si="4"/>
        <v>300000</v>
      </c>
      <c r="H46" s="5">
        <f t="shared" si="4"/>
        <v>0</v>
      </c>
      <c r="I46" s="134"/>
      <c r="J46" s="131"/>
      <c r="K46" s="131"/>
      <c r="L46" s="131"/>
      <c r="M46" s="131"/>
    </row>
    <row r="47" spans="1:13" ht="21.75" customHeight="1" x14ac:dyDescent="0.25">
      <c r="A47" s="135" t="s">
        <v>59</v>
      </c>
      <c r="B47" s="163" t="s">
        <v>22</v>
      </c>
      <c r="C47" s="145" t="s">
        <v>75</v>
      </c>
      <c r="D47" s="3" t="s">
        <v>6</v>
      </c>
      <c r="E47" s="7">
        <f>SUM(F47:H47)</f>
        <v>835100</v>
      </c>
      <c r="F47" s="7">
        <f>SUM(F48:F49)</f>
        <v>0</v>
      </c>
      <c r="G47" s="7">
        <f>SUM(G48:G49)</f>
        <v>835100</v>
      </c>
      <c r="H47" s="7">
        <f>SUM(H48:H49)</f>
        <v>0</v>
      </c>
      <c r="I47" s="132" t="s">
        <v>96</v>
      </c>
      <c r="J47" s="129" t="s">
        <v>9</v>
      </c>
      <c r="K47" s="129">
        <v>0</v>
      </c>
      <c r="L47" s="129">
        <v>50</v>
      </c>
      <c r="M47" s="129">
        <v>50</v>
      </c>
    </row>
    <row r="48" spans="1:13" ht="21.75" customHeight="1" x14ac:dyDescent="0.25">
      <c r="A48" s="136"/>
      <c r="B48" s="163"/>
      <c r="C48" s="145"/>
      <c r="D48" s="4" t="s">
        <v>10</v>
      </c>
      <c r="E48" s="5">
        <f t="shared" si="0"/>
        <v>535100</v>
      </c>
      <c r="F48" s="5">
        <v>0</v>
      </c>
      <c r="G48" s="5">
        <v>535100</v>
      </c>
      <c r="H48" s="5">
        <v>0</v>
      </c>
      <c r="I48" s="133"/>
      <c r="J48" s="130"/>
      <c r="K48" s="130"/>
      <c r="L48" s="130"/>
      <c r="M48" s="130"/>
    </row>
    <row r="49" spans="1:13" ht="21.75" customHeight="1" x14ac:dyDescent="0.25">
      <c r="A49" s="137"/>
      <c r="B49" s="163"/>
      <c r="C49" s="145"/>
      <c r="D49" s="4" t="s">
        <v>11</v>
      </c>
      <c r="E49" s="5">
        <f t="shared" si="0"/>
        <v>300000</v>
      </c>
      <c r="F49" s="5">
        <v>0</v>
      </c>
      <c r="G49" s="5">
        <v>300000</v>
      </c>
      <c r="H49" s="5">
        <v>0</v>
      </c>
      <c r="I49" s="134"/>
      <c r="J49" s="131"/>
      <c r="K49" s="131"/>
      <c r="L49" s="131"/>
      <c r="M49" s="131"/>
    </row>
    <row r="50" spans="1:13" s="6" customFormat="1" ht="13.5" customHeight="1" x14ac:dyDescent="0.2">
      <c r="A50" s="147" t="s">
        <v>60</v>
      </c>
      <c r="B50" s="147"/>
      <c r="C50" s="147"/>
      <c r="D50" s="11" t="s">
        <v>6</v>
      </c>
      <c r="E50" s="7">
        <f>SUM(F50:H50)</f>
        <v>10588117</v>
      </c>
      <c r="F50" s="7">
        <f>SUM(F51:F52)</f>
        <v>5271197</v>
      </c>
      <c r="G50" s="7">
        <f>SUM(G51:G52)</f>
        <v>3415930</v>
      </c>
      <c r="H50" s="7">
        <f>SUM(H51:H52)</f>
        <v>1900990</v>
      </c>
      <c r="I50" s="132"/>
      <c r="J50" s="129"/>
      <c r="K50" s="129"/>
      <c r="L50" s="129"/>
      <c r="M50" s="129"/>
    </row>
    <row r="51" spans="1:13" s="6" customFormat="1" ht="13.5" customHeight="1" x14ac:dyDescent="0.2">
      <c r="A51" s="147"/>
      <c r="B51" s="147"/>
      <c r="C51" s="147"/>
      <c r="D51" s="11" t="s">
        <v>10</v>
      </c>
      <c r="E51" s="7">
        <f>SUM(F51:H51)</f>
        <v>1160100</v>
      </c>
      <c r="F51" s="7">
        <f t="shared" ref="F51:H52" si="5">F12+F24+F39+F45</f>
        <v>625000</v>
      </c>
      <c r="G51" s="7">
        <f t="shared" si="5"/>
        <v>535100</v>
      </c>
      <c r="H51" s="7">
        <f t="shared" si="5"/>
        <v>0</v>
      </c>
      <c r="I51" s="133"/>
      <c r="J51" s="130"/>
      <c r="K51" s="130"/>
      <c r="L51" s="130"/>
      <c r="M51" s="130"/>
    </row>
    <row r="52" spans="1:13" s="6" customFormat="1" ht="13.5" customHeight="1" x14ac:dyDescent="0.2">
      <c r="A52" s="147"/>
      <c r="B52" s="147"/>
      <c r="C52" s="147"/>
      <c r="D52" s="11" t="s">
        <v>11</v>
      </c>
      <c r="E52" s="7">
        <f>SUM(F52:H52)</f>
        <v>9428017</v>
      </c>
      <c r="F52" s="7">
        <f t="shared" si="5"/>
        <v>4646197</v>
      </c>
      <c r="G52" s="7">
        <f t="shared" si="5"/>
        <v>2880830</v>
      </c>
      <c r="H52" s="7">
        <f t="shared" si="5"/>
        <v>1900990</v>
      </c>
      <c r="I52" s="134"/>
      <c r="J52" s="131"/>
      <c r="K52" s="131"/>
      <c r="L52" s="131"/>
      <c r="M52" s="131"/>
    </row>
    <row r="53" spans="1:13" ht="15" customHeight="1" x14ac:dyDescent="0.25">
      <c r="A53" s="123" t="s">
        <v>64</v>
      </c>
      <c r="B53" s="123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0"/>
    </row>
    <row r="54" spans="1:13" s="6" customFormat="1" ht="18.75" customHeight="1" x14ac:dyDescent="0.2">
      <c r="A54" s="117" t="s">
        <v>105</v>
      </c>
      <c r="B54" s="120" t="s">
        <v>23</v>
      </c>
      <c r="C54" s="142"/>
      <c r="D54" s="3" t="s">
        <v>6</v>
      </c>
      <c r="E54" s="7">
        <f t="shared" ref="E54:E77" si="6">SUM(F54:H54)</f>
        <v>6117625</v>
      </c>
      <c r="F54" s="7">
        <f>SUM(F55:F56)</f>
        <v>806415</v>
      </c>
      <c r="G54" s="7">
        <f>SUM(G55:G56)</f>
        <v>3249400</v>
      </c>
      <c r="H54" s="7">
        <f>SUM(H55:H56)</f>
        <v>2061810</v>
      </c>
      <c r="I54" s="132" t="s">
        <v>100</v>
      </c>
      <c r="J54" s="129" t="s">
        <v>9</v>
      </c>
      <c r="K54" s="129" t="s">
        <v>101</v>
      </c>
      <c r="L54" s="129" t="s">
        <v>102</v>
      </c>
      <c r="M54" s="129" t="s">
        <v>102</v>
      </c>
    </row>
    <row r="55" spans="1:13" s="6" customFormat="1" ht="18.75" customHeight="1" x14ac:dyDescent="0.2">
      <c r="A55" s="140"/>
      <c r="B55" s="138"/>
      <c r="C55" s="143"/>
      <c r="D55" s="3" t="s">
        <v>10</v>
      </c>
      <c r="E55" s="7">
        <f t="shared" si="6"/>
        <v>1118500</v>
      </c>
      <c r="F55" s="9">
        <f t="shared" ref="F55:H56" si="7">F58+F73</f>
        <v>0</v>
      </c>
      <c r="G55" s="9">
        <f t="shared" si="7"/>
        <v>1118500</v>
      </c>
      <c r="H55" s="9">
        <f t="shared" si="7"/>
        <v>0</v>
      </c>
      <c r="I55" s="133"/>
      <c r="J55" s="130"/>
      <c r="K55" s="130"/>
      <c r="L55" s="130"/>
      <c r="M55" s="130"/>
    </row>
    <row r="56" spans="1:13" s="6" customFormat="1" ht="18.75" customHeight="1" x14ac:dyDescent="0.2">
      <c r="A56" s="141"/>
      <c r="B56" s="139"/>
      <c r="C56" s="144"/>
      <c r="D56" s="3" t="s">
        <v>11</v>
      </c>
      <c r="E56" s="7">
        <f t="shared" si="6"/>
        <v>4999125</v>
      </c>
      <c r="F56" s="9">
        <f t="shared" si="7"/>
        <v>806415</v>
      </c>
      <c r="G56" s="9">
        <f t="shared" si="7"/>
        <v>2130900</v>
      </c>
      <c r="H56" s="9">
        <f t="shared" si="7"/>
        <v>2061810</v>
      </c>
      <c r="I56" s="134"/>
      <c r="J56" s="131"/>
      <c r="K56" s="131"/>
      <c r="L56" s="131"/>
      <c r="M56" s="131"/>
    </row>
    <row r="57" spans="1:13" ht="21" customHeight="1" x14ac:dyDescent="0.25">
      <c r="A57" s="135" t="s">
        <v>106</v>
      </c>
      <c r="B57" s="132" t="s">
        <v>25</v>
      </c>
      <c r="C57" s="145" t="s">
        <v>75</v>
      </c>
      <c r="D57" s="3" t="s">
        <v>6</v>
      </c>
      <c r="E57" s="7">
        <f t="shared" si="6"/>
        <v>5537688</v>
      </c>
      <c r="F57" s="7">
        <f>SUM(F58:F59)</f>
        <v>534478</v>
      </c>
      <c r="G57" s="7">
        <f>SUM(G58:G59)</f>
        <v>3249400</v>
      </c>
      <c r="H57" s="7">
        <f>SUM(H58:H59)</f>
        <v>1753810</v>
      </c>
      <c r="I57" s="132" t="s">
        <v>24</v>
      </c>
      <c r="J57" s="129" t="s">
        <v>78</v>
      </c>
      <c r="K57" s="129">
        <v>2</v>
      </c>
      <c r="L57" s="129">
        <v>3</v>
      </c>
      <c r="M57" s="129">
        <v>4</v>
      </c>
    </row>
    <row r="58" spans="1:13" ht="21" customHeight="1" x14ac:dyDescent="0.25">
      <c r="A58" s="136"/>
      <c r="B58" s="133"/>
      <c r="C58" s="145"/>
      <c r="D58" s="4" t="s">
        <v>10</v>
      </c>
      <c r="E58" s="5">
        <f t="shared" si="6"/>
        <v>1118500</v>
      </c>
      <c r="F58" s="8">
        <f>F61+F64+F67</f>
        <v>0</v>
      </c>
      <c r="G58" s="8">
        <f>G61+G64+G67</f>
        <v>1118500</v>
      </c>
      <c r="H58" s="8">
        <f>H61+H64+H67</f>
        <v>0</v>
      </c>
      <c r="I58" s="133"/>
      <c r="J58" s="130"/>
      <c r="K58" s="130"/>
      <c r="L58" s="130"/>
      <c r="M58" s="130"/>
    </row>
    <row r="59" spans="1:13" ht="21" customHeight="1" x14ac:dyDescent="0.25">
      <c r="A59" s="137"/>
      <c r="B59" s="134"/>
      <c r="C59" s="145"/>
      <c r="D59" s="4" t="s">
        <v>11</v>
      </c>
      <c r="E59" s="5">
        <f t="shared" si="6"/>
        <v>4419188</v>
      </c>
      <c r="F59" s="8">
        <v>534478</v>
      </c>
      <c r="G59" s="8">
        <f>G62+G65+G68</f>
        <v>2130900</v>
      </c>
      <c r="H59" s="8">
        <v>1753810</v>
      </c>
      <c r="I59" s="133"/>
      <c r="J59" s="130"/>
      <c r="K59" s="130"/>
      <c r="L59" s="130"/>
      <c r="M59" s="130"/>
    </row>
    <row r="60" spans="1:13" ht="21" customHeight="1" x14ac:dyDescent="0.25">
      <c r="A60" s="135" t="s">
        <v>26</v>
      </c>
      <c r="B60" s="132" t="s">
        <v>27</v>
      </c>
      <c r="C60" s="145" t="s">
        <v>75</v>
      </c>
      <c r="D60" s="3" t="s">
        <v>6</v>
      </c>
      <c r="E60" s="7">
        <f t="shared" si="6"/>
        <v>4364950</v>
      </c>
      <c r="F60" s="7">
        <f>SUM(F61:F62)</f>
        <v>0</v>
      </c>
      <c r="G60" s="7">
        <f>SUM(G61:G62)</f>
        <v>2876500</v>
      </c>
      <c r="H60" s="7">
        <v>1488450</v>
      </c>
      <c r="I60" s="133"/>
      <c r="J60" s="130"/>
      <c r="K60" s="130"/>
      <c r="L60" s="130"/>
      <c r="M60" s="130"/>
    </row>
    <row r="61" spans="1:13" ht="21" customHeight="1" x14ac:dyDescent="0.25">
      <c r="A61" s="136"/>
      <c r="B61" s="133"/>
      <c r="C61" s="145"/>
      <c r="D61" s="4" t="s">
        <v>10</v>
      </c>
      <c r="E61" s="5">
        <f t="shared" si="6"/>
        <v>905600</v>
      </c>
      <c r="F61" s="8">
        <v>0</v>
      </c>
      <c r="G61" s="8">
        <v>905600</v>
      </c>
      <c r="H61" s="8">
        <v>0</v>
      </c>
      <c r="I61" s="133"/>
      <c r="J61" s="130"/>
      <c r="K61" s="130"/>
      <c r="L61" s="130"/>
      <c r="M61" s="130"/>
    </row>
    <row r="62" spans="1:13" ht="21" customHeight="1" x14ac:dyDescent="0.25">
      <c r="A62" s="137"/>
      <c r="B62" s="134"/>
      <c r="C62" s="145"/>
      <c r="D62" s="4" t="s">
        <v>11</v>
      </c>
      <c r="E62" s="5">
        <f t="shared" si="6"/>
        <v>3459350</v>
      </c>
      <c r="F62" s="8">
        <v>0</v>
      </c>
      <c r="G62" s="8">
        <v>1970900</v>
      </c>
      <c r="H62" s="8">
        <v>1488450</v>
      </c>
      <c r="I62" s="133"/>
      <c r="J62" s="130"/>
      <c r="K62" s="130"/>
      <c r="L62" s="130"/>
      <c r="M62" s="130"/>
    </row>
    <row r="63" spans="1:13" ht="21" customHeight="1" x14ac:dyDescent="0.25">
      <c r="A63" s="135" t="s">
        <v>28</v>
      </c>
      <c r="B63" s="132" t="s">
        <v>29</v>
      </c>
      <c r="C63" s="145" t="s">
        <v>75</v>
      </c>
      <c r="D63" s="3" t="s">
        <v>6</v>
      </c>
      <c r="E63" s="7">
        <f t="shared" si="6"/>
        <v>312900</v>
      </c>
      <c r="F63" s="7">
        <f>SUM(F64:F65)</f>
        <v>0</v>
      </c>
      <c r="G63" s="7">
        <f>SUM(G64:G65)</f>
        <v>312900</v>
      </c>
      <c r="H63" s="7">
        <v>0</v>
      </c>
      <c r="I63" s="133"/>
      <c r="J63" s="130"/>
      <c r="K63" s="130"/>
      <c r="L63" s="130"/>
      <c r="M63" s="130"/>
    </row>
    <row r="64" spans="1:13" ht="21" customHeight="1" x14ac:dyDescent="0.25">
      <c r="A64" s="136"/>
      <c r="B64" s="133"/>
      <c r="C64" s="145"/>
      <c r="D64" s="4" t="s">
        <v>10</v>
      </c>
      <c r="E64" s="5">
        <f t="shared" si="6"/>
        <v>212900</v>
      </c>
      <c r="F64" s="8">
        <v>0</v>
      </c>
      <c r="G64" s="8">
        <v>212900</v>
      </c>
      <c r="H64" s="8">
        <v>0</v>
      </c>
      <c r="I64" s="133"/>
      <c r="J64" s="130"/>
      <c r="K64" s="130"/>
      <c r="L64" s="130"/>
      <c r="M64" s="130"/>
    </row>
    <row r="65" spans="1:13" ht="21" customHeight="1" x14ac:dyDescent="0.25">
      <c r="A65" s="137"/>
      <c r="B65" s="134"/>
      <c r="C65" s="145"/>
      <c r="D65" s="4" t="s">
        <v>11</v>
      </c>
      <c r="E65" s="5">
        <f t="shared" si="6"/>
        <v>100000</v>
      </c>
      <c r="F65" s="8">
        <v>0</v>
      </c>
      <c r="G65" s="8">
        <v>100000</v>
      </c>
      <c r="H65" s="20">
        <v>0</v>
      </c>
      <c r="I65" s="133"/>
      <c r="J65" s="130"/>
      <c r="K65" s="130"/>
      <c r="L65" s="130"/>
      <c r="M65" s="130"/>
    </row>
    <row r="66" spans="1:13" ht="21" customHeight="1" x14ac:dyDescent="0.25">
      <c r="A66" s="135" t="s">
        <v>73</v>
      </c>
      <c r="B66" s="132" t="s">
        <v>65</v>
      </c>
      <c r="C66" s="145" t="s">
        <v>75</v>
      </c>
      <c r="D66" s="3" t="s">
        <v>6</v>
      </c>
      <c r="E66" s="7">
        <f t="shared" si="6"/>
        <v>325360</v>
      </c>
      <c r="F66" s="7">
        <f>SUM(F67:F68)</f>
        <v>0</v>
      </c>
      <c r="G66" s="7">
        <f>SUM(G67:G68)</f>
        <v>60000</v>
      </c>
      <c r="H66" s="7">
        <v>265360</v>
      </c>
      <c r="I66" s="133"/>
      <c r="J66" s="130"/>
      <c r="K66" s="130"/>
      <c r="L66" s="130"/>
      <c r="M66" s="130"/>
    </row>
    <row r="67" spans="1:13" ht="21" customHeight="1" x14ac:dyDescent="0.25">
      <c r="A67" s="136"/>
      <c r="B67" s="133"/>
      <c r="C67" s="145"/>
      <c r="D67" s="4" t="s">
        <v>10</v>
      </c>
      <c r="E67" s="5">
        <f t="shared" si="6"/>
        <v>0</v>
      </c>
      <c r="F67" s="8">
        <v>0</v>
      </c>
      <c r="G67" s="8">
        <v>0</v>
      </c>
      <c r="H67" s="8">
        <v>0</v>
      </c>
      <c r="I67" s="133"/>
      <c r="J67" s="130"/>
      <c r="K67" s="130"/>
      <c r="L67" s="130"/>
      <c r="M67" s="130"/>
    </row>
    <row r="68" spans="1:13" ht="21" customHeight="1" x14ac:dyDescent="0.25">
      <c r="A68" s="137"/>
      <c r="B68" s="134"/>
      <c r="C68" s="145"/>
      <c r="D68" s="4" t="s">
        <v>11</v>
      </c>
      <c r="E68" s="5">
        <f t="shared" si="6"/>
        <v>325360</v>
      </c>
      <c r="F68" s="8">
        <v>0</v>
      </c>
      <c r="G68" s="8">
        <v>60000</v>
      </c>
      <c r="H68" s="8">
        <v>265360</v>
      </c>
      <c r="I68" s="134"/>
      <c r="J68" s="131"/>
      <c r="K68" s="131"/>
      <c r="L68" s="131"/>
      <c r="M68" s="131"/>
    </row>
    <row r="69" spans="1:13" ht="21" customHeight="1" x14ac:dyDescent="0.25">
      <c r="A69" s="135" t="s">
        <v>72</v>
      </c>
      <c r="B69" s="132" t="s">
        <v>30</v>
      </c>
      <c r="C69" s="129" t="s">
        <v>75</v>
      </c>
      <c r="D69" s="3" t="s">
        <v>6</v>
      </c>
      <c r="E69" s="7">
        <v>579937</v>
      </c>
      <c r="F69" s="9">
        <v>271937</v>
      </c>
      <c r="G69" s="9">
        <v>0</v>
      </c>
      <c r="H69" s="9">
        <v>308000</v>
      </c>
      <c r="I69" s="132" t="s">
        <v>31</v>
      </c>
      <c r="J69" s="129" t="s">
        <v>9</v>
      </c>
      <c r="K69" s="129">
        <v>8.3000000000000007</v>
      </c>
      <c r="L69" s="129">
        <v>12.5</v>
      </c>
      <c r="M69" s="129">
        <v>16.600000000000001</v>
      </c>
    </row>
    <row r="70" spans="1:13" ht="21" customHeight="1" x14ac:dyDescent="0.25">
      <c r="A70" s="118"/>
      <c r="B70" s="121"/>
      <c r="C70" s="118"/>
      <c r="D70" s="4" t="s">
        <v>10</v>
      </c>
      <c r="E70" s="5">
        <v>0</v>
      </c>
      <c r="F70" s="8">
        <v>0</v>
      </c>
      <c r="G70" s="8">
        <v>0</v>
      </c>
      <c r="H70" s="8">
        <v>0</v>
      </c>
      <c r="I70" s="121"/>
      <c r="J70" s="118"/>
      <c r="K70" s="118"/>
      <c r="L70" s="118"/>
      <c r="M70" s="118"/>
    </row>
    <row r="71" spans="1:13" ht="21" customHeight="1" x14ac:dyDescent="0.25">
      <c r="A71" s="119"/>
      <c r="B71" s="122"/>
      <c r="C71" s="119"/>
      <c r="D71" s="4" t="s">
        <v>11</v>
      </c>
      <c r="E71" s="5">
        <v>579937</v>
      </c>
      <c r="F71" s="8">
        <v>271937</v>
      </c>
      <c r="G71" s="8">
        <v>0</v>
      </c>
      <c r="H71" s="8">
        <v>308000</v>
      </c>
      <c r="I71" s="121"/>
      <c r="J71" s="118"/>
      <c r="K71" s="118"/>
      <c r="L71" s="118"/>
      <c r="M71" s="118"/>
    </row>
    <row r="72" spans="1:13" ht="21" customHeight="1" x14ac:dyDescent="0.25">
      <c r="A72" s="135" t="s">
        <v>129</v>
      </c>
      <c r="B72" s="132" t="s">
        <v>27</v>
      </c>
      <c r="C72" s="145" t="s">
        <v>75</v>
      </c>
      <c r="D72" s="3" t="s">
        <v>6</v>
      </c>
      <c r="E72" s="7">
        <f t="shared" si="6"/>
        <v>579937</v>
      </c>
      <c r="F72" s="7">
        <f>SUM(F73:F74)</f>
        <v>271937</v>
      </c>
      <c r="G72" s="7">
        <f>SUM(G73:G74)</f>
        <v>0</v>
      </c>
      <c r="H72" s="7">
        <v>308000</v>
      </c>
      <c r="I72" s="121"/>
      <c r="J72" s="118"/>
      <c r="K72" s="118"/>
      <c r="L72" s="118"/>
      <c r="M72" s="118"/>
    </row>
    <row r="73" spans="1:13" ht="21" customHeight="1" x14ac:dyDescent="0.25">
      <c r="A73" s="136"/>
      <c r="B73" s="133"/>
      <c r="C73" s="145"/>
      <c r="D73" s="4" t="s">
        <v>10</v>
      </c>
      <c r="E73" s="5">
        <f t="shared" si="6"/>
        <v>0</v>
      </c>
      <c r="F73" s="8">
        <v>0</v>
      </c>
      <c r="G73" s="8">
        <v>0</v>
      </c>
      <c r="H73" s="8">
        <v>0</v>
      </c>
      <c r="I73" s="121"/>
      <c r="J73" s="118"/>
      <c r="K73" s="118"/>
      <c r="L73" s="118"/>
      <c r="M73" s="118"/>
    </row>
    <row r="74" spans="1:13" ht="21" customHeight="1" x14ac:dyDescent="0.25">
      <c r="A74" s="137"/>
      <c r="B74" s="134"/>
      <c r="C74" s="145"/>
      <c r="D74" s="4" t="s">
        <v>11</v>
      </c>
      <c r="E74" s="5">
        <f t="shared" si="6"/>
        <v>579937</v>
      </c>
      <c r="F74" s="8">
        <v>271937</v>
      </c>
      <c r="G74" s="8">
        <v>0</v>
      </c>
      <c r="H74" s="8">
        <v>308000</v>
      </c>
      <c r="I74" s="122"/>
      <c r="J74" s="119"/>
      <c r="K74" s="119"/>
      <c r="L74" s="119"/>
      <c r="M74" s="119"/>
    </row>
    <row r="75" spans="1:13" s="6" customFormat="1" ht="13.5" customHeight="1" x14ac:dyDescent="0.2">
      <c r="A75" s="147" t="s">
        <v>71</v>
      </c>
      <c r="B75" s="147"/>
      <c r="C75" s="147"/>
      <c r="D75" s="11" t="s">
        <v>6</v>
      </c>
      <c r="E75" s="7">
        <f t="shared" si="6"/>
        <v>6117625</v>
      </c>
      <c r="F75" s="7">
        <f>SUM(F76:F77)</f>
        <v>806415</v>
      </c>
      <c r="G75" s="7">
        <f>SUM(G76:G77)</f>
        <v>3249400</v>
      </c>
      <c r="H75" s="7">
        <f>SUM(H76:H77)</f>
        <v>2061810</v>
      </c>
      <c r="I75" s="132"/>
      <c r="J75" s="129"/>
      <c r="K75" s="129"/>
      <c r="L75" s="129"/>
      <c r="M75" s="129"/>
    </row>
    <row r="76" spans="1:13" s="6" customFormat="1" ht="13.5" customHeight="1" x14ac:dyDescent="0.2">
      <c r="A76" s="147"/>
      <c r="B76" s="147"/>
      <c r="C76" s="147"/>
      <c r="D76" s="11" t="s">
        <v>10</v>
      </c>
      <c r="E76" s="7">
        <f t="shared" si="6"/>
        <v>1118500</v>
      </c>
      <c r="F76" s="7">
        <f t="shared" ref="F76:H77" si="8">F55</f>
        <v>0</v>
      </c>
      <c r="G76" s="7">
        <f t="shared" si="8"/>
        <v>1118500</v>
      </c>
      <c r="H76" s="7">
        <f t="shared" si="8"/>
        <v>0</v>
      </c>
      <c r="I76" s="133"/>
      <c r="J76" s="130"/>
      <c r="K76" s="130"/>
      <c r="L76" s="130"/>
      <c r="M76" s="130"/>
    </row>
    <row r="77" spans="1:13" s="6" customFormat="1" ht="13.5" customHeight="1" x14ac:dyDescent="0.2">
      <c r="A77" s="147"/>
      <c r="B77" s="147"/>
      <c r="C77" s="147"/>
      <c r="D77" s="11" t="s">
        <v>11</v>
      </c>
      <c r="E77" s="7">
        <f t="shared" si="6"/>
        <v>4999125</v>
      </c>
      <c r="F77" s="7">
        <f t="shared" si="8"/>
        <v>806415</v>
      </c>
      <c r="G77" s="7">
        <f t="shared" si="8"/>
        <v>2130900</v>
      </c>
      <c r="H77" s="7">
        <f t="shared" si="8"/>
        <v>2061810</v>
      </c>
      <c r="I77" s="134"/>
      <c r="J77" s="131"/>
      <c r="K77" s="131"/>
      <c r="L77" s="131"/>
      <c r="M77" s="131"/>
    </row>
    <row r="78" spans="1:13" x14ac:dyDescent="0.25">
      <c r="A78" s="123" t="s">
        <v>66</v>
      </c>
      <c r="B78" s="123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0"/>
    </row>
    <row r="79" spans="1:13" s="6" customFormat="1" ht="15" customHeight="1" x14ac:dyDescent="0.2">
      <c r="A79" s="117" t="s">
        <v>107</v>
      </c>
      <c r="B79" s="120" t="s">
        <v>32</v>
      </c>
      <c r="C79" s="142"/>
      <c r="D79" s="3" t="s">
        <v>6</v>
      </c>
      <c r="E79" s="7">
        <f t="shared" ref="E79:E91" si="9">SUM(F79:H79)</f>
        <v>35109057</v>
      </c>
      <c r="F79" s="7">
        <f>SUM(F80:F81)</f>
        <v>18846257</v>
      </c>
      <c r="G79" s="7">
        <f>SUM(G80:G81)</f>
        <v>9064430</v>
      </c>
      <c r="H79" s="7">
        <f>SUM(H80:H81)</f>
        <v>7198370.0000000009</v>
      </c>
      <c r="I79" s="132" t="s">
        <v>100</v>
      </c>
      <c r="J79" s="129" t="s">
        <v>9</v>
      </c>
      <c r="K79" s="129" t="s">
        <v>101</v>
      </c>
      <c r="L79" s="129" t="s">
        <v>102</v>
      </c>
      <c r="M79" s="129" t="s">
        <v>102</v>
      </c>
    </row>
    <row r="80" spans="1:13" s="6" customFormat="1" ht="15" customHeight="1" x14ac:dyDescent="0.2">
      <c r="A80" s="140"/>
      <c r="B80" s="138"/>
      <c r="C80" s="143"/>
      <c r="D80" s="11" t="s">
        <v>10</v>
      </c>
      <c r="E80" s="7">
        <f t="shared" si="9"/>
        <v>1600000</v>
      </c>
      <c r="F80" s="9">
        <f t="shared" ref="F80:H81" si="10">SUM(F83+F86+F89+F92+F95+F98+F101+F104+F107+F110+F113+F116+F119+F122+F125+F128+F131)</f>
        <v>0</v>
      </c>
      <c r="G80" s="9">
        <f t="shared" si="10"/>
        <v>1600000</v>
      </c>
      <c r="H80" s="9">
        <f t="shared" si="10"/>
        <v>0</v>
      </c>
      <c r="I80" s="133"/>
      <c r="J80" s="130"/>
      <c r="K80" s="130"/>
      <c r="L80" s="130"/>
      <c r="M80" s="130"/>
    </row>
    <row r="81" spans="1:13" s="6" customFormat="1" ht="15" customHeight="1" x14ac:dyDescent="0.2">
      <c r="A81" s="141"/>
      <c r="B81" s="139"/>
      <c r="C81" s="144"/>
      <c r="D81" s="11" t="s">
        <v>11</v>
      </c>
      <c r="E81" s="7">
        <f t="shared" si="9"/>
        <v>33509057</v>
      </c>
      <c r="F81" s="9">
        <f t="shared" si="10"/>
        <v>18846257</v>
      </c>
      <c r="G81" s="9">
        <f t="shared" si="10"/>
        <v>7464430</v>
      </c>
      <c r="H81" s="9">
        <f t="shared" si="10"/>
        <v>7198370.0000000009</v>
      </c>
      <c r="I81" s="134"/>
      <c r="J81" s="131"/>
      <c r="K81" s="131"/>
      <c r="L81" s="131"/>
      <c r="M81" s="131"/>
    </row>
    <row r="82" spans="1:13" ht="21" customHeight="1" x14ac:dyDescent="0.25">
      <c r="A82" s="135" t="s">
        <v>108</v>
      </c>
      <c r="B82" s="132" t="s">
        <v>67</v>
      </c>
      <c r="C82" s="145" t="s">
        <v>75</v>
      </c>
      <c r="D82" s="3" t="s">
        <v>6</v>
      </c>
      <c r="E82" s="7">
        <f t="shared" si="9"/>
        <v>1741559.41</v>
      </c>
      <c r="F82" s="7">
        <f>SUM(F83:F84)</f>
        <v>45000</v>
      </c>
      <c r="G82" s="7">
        <f>SUM(G83:G84)</f>
        <v>304420.49</v>
      </c>
      <c r="H82" s="7">
        <v>1392138.92</v>
      </c>
      <c r="I82" s="132" t="s">
        <v>82</v>
      </c>
      <c r="J82" s="129" t="s">
        <v>9</v>
      </c>
      <c r="K82" s="129">
        <v>5</v>
      </c>
      <c r="L82" s="129">
        <v>10</v>
      </c>
      <c r="M82" s="129">
        <v>30.8</v>
      </c>
    </row>
    <row r="83" spans="1:13" ht="21" customHeight="1" x14ac:dyDescent="0.25">
      <c r="A83" s="136"/>
      <c r="B83" s="133"/>
      <c r="C83" s="145"/>
      <c r="D83" s="4" t="s">
        <v>10</v>
      </c>
      <c r="E83" s="5">
        <f t="shared" si="9"/>
        <v>0</v>
      </c>
      <c r="F83" s="8">
        <v>0</v>
      </c>
      <c r="G83" s="8">
        <v>0</v>
      </c>
      <c r="H83" s="8">
        <v>0</v>
      </c>
      <c r="I83" s="133"/>
      <c r="J83" s="130"/>
      <c r="K83" s="130"/>
      <c r="L83" s="130"/>
      <c r="M83" s="130"/>
    </row>
    <row r="84" spans="1:13" ht="21" customHeight="1" x14ac:dyDescent="0.25">
      <c r="A84" s="137"/>
      <c r="B84" s="134"/>
      <c r="C84" s="145"/>
      <c r="D84" s="4" t="s">
        <v>11</v>
      </c>
      <c r="E84" s="5">
        <f t="shared" si="9"/>
        <v>1741559.41</v>
      </c>
      <c r="F84" s="8">
        <v>45000</v>
      </c>
      <c r="G84" s="8">
        <f>304430-9.51</f>
        <v>304420.49</v>
      </c>
      <c r="H84" s="8">
        <v>1392138.92</v>
      </c>
      <c r="I84" s="134"/>
      <c r="J84" s="131"/>
      <c r="K84" s="131"/>
      <c r="L84" s="131"/>
      <c r="M84" s="131"/>
    </row>
    <row r="85" spans="1:13" ht="21" customHeight="1" x14ac:dyDescent="0.25">
      <c r="A85" s="135" t="s">
        <v>109</v>
      </c>
      <c r="B85" s="132" t="s">
        <v>68</v>
      </c>
      <c r="C85" s="145" t="s">
        <v>75</v>
      </c>
      <c r="D85" s="3" t="s">
        <v>6</v>
      </c>
      <c r="E85" s="7">
        <f t="shared" si="9"/>
        <v>2684090.86</v>
      </c>
      <c r="F85" s="7">
        <f>SUM(F86:F87)</f>
        <v>1276987</v>
      </c>
      <c r="G85" s="7">
        <f>SUM(G86:G87)</f>
        <v>1407103.8599999999</v>
      </c>
      <c r="H85" s="7">
        <f>SUM(H86:H87)</f>
        <v>0</v>
      </c>
      <c r="I85" s="132" t="s">
        <v>79</v>
      </c>
      <c r="J85" s="129" t="s">
        <v>9</v>
      </c>
      <c r="K85" s="129">
        <v>95</v>
      </c>
      <c r="L85" s="129">
        <v>98</v>
      </c>
      <c r="M85" s="129">
        <v>98</v>
      </c>
    </row>
    <row r="86" spans="1:13" ht="21" customHeight="1" x14ac:dyDescent="0.25">
      <c r="A86" s="136"/>
      <c r="B86" s="133"/>
      <c r="C86" s="145"/>
      <c r="D86" s="4" t="s">
        <v>10</v>
      </c>
      <c r="E86" s="5">
        <f t="shared" si="9"/>
        <v>711000</v>
      </c>
      <c r="F86" s="8">
        <v>0</v>
      </c>
      <c r="G86" s="12">
        <f>0+711000</f>
        <v>711000</v>
      </c>
      <c r="H86" s="8">
        <v>0</v>
      </c>
      <c r="I86" s="133"/>
      <c r="J86" s="130"/>
      <c r="K86" s="130"/>
      <c r="L86" s="130"/>
      <c r="M86" s="130"/>
    </row>
    <row r="87" spans="1:13" ht="21" customHeight="1" x14ac:dyDescent="0.25">
      <c r="A87" s="137"/>
      <c r="B87" s="134"/>
      <c r="C87" s="145"/>
      <c r="D87" s="4" t="s">
        <v>11</v>
      </c>
      <c r="E87" s="5">
        <f t="shared" si="9"/>
        <v>1973090.8599999999</v>
      </c>
      <c r="F87" s="8">
        <v>1276987</v>
      </c>
      <c r="G87" s="8">
        <f>1416620-9500-711000-16.14</f>
        <v>696103.86</v>
      </c>
      <c r="H87" s="8">
        <v>0</v>
      </c>
      <c r="I87" s="134"/>
      <c r="J87" s="131"/>
      <c r="K87" s="131"/>
      <c r="L87" s="131"/>
      <c r="M87" s="131"/>
    </row>
    <row r="88" spans="1:13" ht="21" customHeight="1" x14ac:dyDescent="0.25">
      <c r="A88" s="135" t="s">
        <v>110</v>
      </c>
      <c r="B88" s="132" t="s">
        <v>33</v>
      </c>
      <c r="C88" s="145" t="s">
        <v>75</v>
      </c>
      <c r="D88" s="3" t="s">
        <v>6</v>
      </c>
      <c r="E88" s="7">
        <f t="shared" si="9"/>
        <v>344278</v>
      </c>
      <c r="F88" s="7">
        <f>SUM(F89:F90)</f>
        <v>245550</v>
      </c>
      <c r="G88" s="7">
        <f>SUM(G89:G90)</f>
        <v>0</v>
      </c>
      <c r="H88" s="7">
        <v>98728</v>
      </c>
      <c r="I88" s="132" t="s">
        <v>80</v>
      </c>
      <c r="J88" s="129" t="s">
        <v>9</v>
      </c>
      <c r="K88" s="129">
        <v>85</v>
      </c>
      <c r="L88" s="129">
        <v>85</v>
      </c>
      <c r="M88" s="129">
        <v>89</v>
      </c>
    </row>
    <row r="89" spans="1:13" ht="21" customHeight="1" x14ac:dyDescent="0.25">
      <c r="A89" s="136"/>
      <c r="B89" s="133"/>
      <c r="C89" s="145"/>
      <c r="D89" s="4" t="s">
        <v>10</v>
      </c>
      <c r="E89" s="5">
        <f t="shared" si="9"/>
        <v>0</v>
      </c>
      <c r="F89" s="8">
        <v>0</v>
      </c>
      <c r="G89" s="8">
        <v>0</v>
      </c>
      <c r="H89" s="8">
        <v>0</v>
      </c>
      <c r="I89" s="133"/>
      <c r="J89" s="130"/>
      <c r="K89" s="130"/>
      <c r="L89" s="130"/>
      <c r="M89" s="130"/>
    </row>
    <row r="90" spans="1:13" ht="21" customHeight="1" x14ac:dyDescent="0.25">
      <c r="A90" s="137"/>
      <c r="B90" s="134"/>
      <c r="C90" s="145"/>
      <c r="D90" s="4" t="s">
        <v>11</v>
      </c>
      <c r="E90" s="5">
        <f t="shared" si="9"/>
        <v>344278</v>
      </c>
      <c r="F90" s="8">
        <v>245550</v>
      </c>
      <c r="G90" s="8">
        <v>0</v>
      </c>
      <c r="H90" s="8">
        <v>98728</v>
      </c>
      <c r="I90" s="134"/>
      <c r="J90" s="131"/>
      <c r="K90" s="131"/>
      <c r="L90" s="131"/>
      <c r="M90" s="131"/>
    </row>
    <row r="91" spans="1:13" ht="21" customHeight="1" x14ac:dyDescent="0.25">
      <c r="A91" s="135" t="s">
        <v>111</v>
      </c>
      <c r="B91" s="132" t="s">
        <v>34</v>
      </c>
      <c r="C91" s="145" t="s">
        <v>75</v>
      </c>
      <c r="D91" s="3" t="s">
        <v>6</v>
      </c>
      <c r="E91" s="7">
        <f t="shared" si="9"/>
        <v>1186031</v>
      </c>
      <c r="F91" s="7">
        <f>SUM(F92:F93)</f>
        <v>749581</v>
      </c>
      <c r="G91" s="7">
        <f>SUM(G92:G93)</f>
        <v>291920</v>
      </c>
      <c r="H91" s="7">
        <f>SUM(H92:H93)</f>
        <v>144530</v>
      </c>
      <c r="I91" s="132" t="s">
        <v>81</v>
      </c>
      <c r="J91" s="129" t="s">
        <v>9</v>
      </c>
      <c r="K91" s="129">
        <v>80</v>
      </c>
      <c r="L91" s="129">
        <v>85</v>
      </c>
      <c r="M91" s="129">
        <v>89</v>
      </c>
    </row>
    <row r="92" spans="1:13" ht="21" customHeight="1" x14ac:dyDescent="0.25">
      <c r="A92" s="136"/>
      <c r="B92" s="133"/>
      <c r="C92" s="145"/>
      <c r="D92" s="4" t="s">
        <v>10</v>
      </c>
      <c r="E92" s="5">
        <f t="shared" ref="E92:E132" si="11">SUM(F92:H92)</f>
        <v>0</v>
      </c>
      <c r="F92" s="8">
        <v>0</v>
      </c>
      <c r="G92" s="8">
        <v>0</v>
      </c>
      <c r="H92" s="8">
        <v>0</v>
      </c>
      <c r="I92" s="133"/>
      <c r="J92" s="130"/>
      <c r="K92" s="130"/>
      <c r="L92" s="130"/>
      <c r="M92" s="130"/>
    </row>
    <row r="93" spans="1:13" ht="21" customHeight="1" x14ac:dyDescent="0.25">
      <c r="A93" s="137"/>
      <c r="B93" s="134"/>
      <c r="C93" s="145"/>
      <c r="D93" s="4" t="s">
        <v>11</v>
      </c>
      <c r="E93" s="5">
        <f t="shared" si="11"/>
        <v>1186031</v>
      </c>
      <c r="F93" s="8">
        <v>749581</v>
      </c>
      <c r="G93" s="8">
        <f>291920</f>
        <v>291920</v>
      </c>
      <c r="H93" s="8">
        <v>144530</v>
      </c>
      <c r="I93" s="134"/>
      <c r="J93" s="131"/>
      <c r="K93" s="131"/>
      <c r="L93" s="131"/>
      <c r="M93" s="131"/>
    </row>
    <row r="94" spans="1:13" ht="21" customHeight="1" x14ac:dyDescent="0.25">
      <c r="A94" s="135" t="s">
        <v>112</v>
      </c>
      <c r="B94" s="132" t="s">
        <v>35</v>
      </c>
      <c r="C94" s="145" t="s">
        <v>75</v>
      </c>
      <c r="D94" s="3" t="s">
        <v>6</v>
      </c>
      <c r="E94" s="7">
        <f>SUM(F94:H94)</f>
        <v>15752256.52</v>
      </c>
      <c r="F94" s="7">
        <f>SUM(F95:F96)</f>
        <v>8431992</v>
      </c>
      <c r="G94" s="7">
        <f>SUM(G95:G96)</f>
        <v>3142177.2</v>
      </c>
      <c r="H94" s="7">
        <f>SUM(H95:H96)</f>
        <v>4178087.32</v>
      </c>
      <c r="I94" s="132" t="s">
        <v>83</v>
      </c>
      <c r="J94" s="129" t="s">
        <v>9</v>
      </c>
      <c r="K94" s="129">
        <v>90</v>
      </c>
      <c r="L94" s="129">
        <v>95</v>
      </c>
      <c r="M94" s="129">
        <v>95</v>
      </c>
    </row>
    <row r="95" spans="1:13" ht="21" customHeight="1" x14ac:dyDescent="0.25">
      <c r="A95" s="136"/>
      <c r="B95" s="133"/>
      <c r="C95" s="145"/>
      <c r="D95" s="4" t="s">
        <v>10</v>
      </c>
      <c r="E95" s="5">
        <f t="shared" si="11"/>
        <v>889000</v>
      </c>
      <c r="F95" s="8">
        <v>0</v>
      </c>
      <c r="G95" s="8">
        <f>0+889000</f>
        <v>889000</v>
      </c>
      <c r="H95" s="8">
        <v>0</v>
      </c>
      <c r="I95" s="133"/>
      <c r="J95" s="130"/>
      <c r="K95" s="130"/>
      <c r="L95" s="130"/>
      <c r="M95" s="130"/>
    </row>
    <row r="96" spans="1:13" ht="21" customHeight="1" x14ac:dyDescent="0.25">
      <c r="A96" s="137"/>
      <c r="B96" s="134"/>
      <c r="C96" s="145"/>
      <c r="D96" s="4" t="s">
        <v>11</v>
      </c>
      <c r="E96" s="5">
        <f t="shared" si="11"/>
        <v>14863256.52</v>
      </c>
      <c r="F96" s="8">
        <v>8431992</v>
      </c>
      <c r="G96" s="8">
        <f>3202020-889000-59842.8</f>
        <v>2253177.2000000002</v>
      </c>
      <c r="H96" s="8">
        <v>4178087.32</v>
      </c>
      <c r="I96" s="134"/>
      <c r="J96" s="131"/>
      <c r="K96" s="131"/>
      <c r="L96" s="131"/>
      <c r="M96" s="131"/>
    </row>
    <row r="97" spans="1:13" ht="21" customHeight="1" x14ac:dyDescent="0.25">
      <c r="A97" s="135" t="s">
        <v>113</v>
      </c>
      <c r="B97" s="132" t="s">
        <v>36</v>
      </c>
      <c r="C97" s="145" t="s">
        <v>75</v>
      </c>
      <c r="D97" s="3" t="s">
        <v>6</v>
      </c>
      <c r="E97" s="7">
        <f>SUM(F97:H97)</f>
        <v>3163045</v>
      </c>
      <c r="F97" s="7">
        <f>SUM(F98:F99)</f>
        <v>2676315</v>
      </c>
      <c r="G97" s="7">
        <f>SUM(G98:G99)</f>
        <v>486730</v>
      </c>
      <c r="H97" s="7">
        <f>SUM(H98:H99)</f>
        <v>0</v>
      </c>
      <c r="I97" s="132" t="s">
        <v>84</v>
      </c>
      <c r="J97" s="129" t="s">
        <v>9</v>
      </c>
      <c r="K97" s="129">
        <v>95</v>
      </c>
      <c r="L97" s="129">
        <v>95</v>
      </c>
      <c r="M97" s="129" t="s">
        <v>93</v>
      </c>
    </row>
    <row r="98" spans="1:13" ht="21" customHeight="1" x14ac:dyDescent="0.25">
      <c r="A98" s="136"/>
      <c r="B98" s="133"/>
      <c r="C98" s="145"/>
      <c r="D98" s="4" t="s">
        <v>10</v>
      </c>
      <c r="E98" s="5">
        <f t="shared" si="11"/>
        <v>0</v>
      </c>
      <c r="F98" s="8">
        <v>0</v>
      </c>
      <c r="G98" s="8">
        <v>0</v>
      </c>
      <c r="H98" s="8">
        <v>0</v>
      </c>
      <c r="I98" s="133"/>
      <c r="J98" s="130"/>
      <c r="K98" s="130"/>
      <c r="L98" s="130"/>
      <c r="M98" s="130"/>
    </row>
    <row r="99" spans="1:13" ht="21" customHeight="1" x14ac:dyDescent="0.25">
      <c r="A99" s="137"/>
      <c r="B99" s="134"/>
      <c r="C99" s="145"/>
      <c r="D99" s="4" t="s">
        <v>11</v>
      </c>
      <c r="E99" s="5">
        <f t="shared" si="11"/>
        <v>3163045</v>
      </c>
      <c r="F99" s="8">
        <v>2676315</v>
      </c>
      <c r="G99" s="8">
        <v>486730</v>
      </c>
      <c r="H99" s="8">
        <v>0</v>
      </c>
      <c r="I99" s="134"/>
      <c r="J99" s="131"/>
      <c r="K99" s="131"/>
      <c r="L99" s="131"/>
      <c r="M99" s="131"/>
    </row>
    <row r="100" spans="1:13" ht="21" customHeight="1" x14ac:dyDescent="0.25">
      <c r="A100" s="135" t="s">
        <v>114</v>
      </c>
      <c r="B100" s="132" t="s">
        <v>37</v>
      </c>
      <c r="C100" s="145" t="s">
        <v>75</v>
      </c>
      <c r="D100" s="3" t="s">
        <v>6</v>
      </c>
      <c r="E100" s="7">
        <f>SUM(F100:H100)</f>
        <v>497841</v>
      </c>
      <c r="F100" s="7">
        <f>SUM(F101:F102)</f>
        <v>379584</v>
      </c>
      <c r="G100" s="7">
        <f>SUM(G101:G102)</f>
        <v>25000</v>
      </c>
      <c r="H100" s="7">
        <f>SUM(H101:H102)</f>
        <v>93257</v>
      </c>
      <c r="I100" s="132" t="s">
        <v>85</v>
      </c>
      <c r="J100" s="129" t="s">
        <v>9</v>
      </c>
      <c r="K100" s="129">
        <v>20</v>
      </c>
      <c r="L100" s="129">
        <v>20</v>
      </c>
      <c r="M100" s="129">
        <v>24.1</v>
      </c>
    </row>
    <row r="101" spans="1:13" ht="21" customHeight="1" x14ac:dyDescent="0.25">
      <c r="A101" s="136"/>
      <c r="B101" s="133"/>
      <c r="C101" s="145"/>
      <c r="D101" s="4" t="s">
        <v>10</v>
      </c>
      <c r="E101" s="5">
        <f t="shared" si="11"/>
        <v>0</v>
      </c>
      <c r="F101" s="8">
        <v>0</v>
      </c>
      <c r="G101" s="8">
        <v>0</v>
      </c>
      <c r="H101" s="8">
        <v>0</v>
      </c>
      <c r="I101" s="133"/>
      <c r="J101" s="130"/>
      <c r="K101" s="130"/>
      <c r="L101" s="130"/>
      <c r="M101" s="130"/>
    </row>
    <row r="102" spans="1:13" ht="21" customHeight="1" x14ac:dyDescent="0.25">
      <c r="A102" s="137"/>
      <c r="B102" s="134"/>
      <c r="C102" s="145"/>
      <c r="D102" s="4" t="s">
        <v>11</v>
      </c>
      <c r="E102" s="5">
        <f t="shared" si="11"/>
        <v>497841</v>
      </c>
      <c r="F102" s="8">
        <v>379584</v>
      </c>
      <c r="G102" s="8">
        <v>25000</v>
      </c>
      <c r="H102" s="8">
        <v>93257</v>
      </c>
      <c r="I102" s="134"/>
      <c r="J102" s="131"/>
      <c r="K102" s="131"/>
      <c r="L102" s="131"/>
      <c r="M102" s="131"/>
    </row>
    <row r="103" spans="1:13" ht="21" customHeight="1" x14ac:dyDescent="0.25">
      <c r="A103" s="135" t="s">
        <v>115</v>
      </c>
      <c r="B103" s="132" t="s">
        <v>38</v>
      </c>
      <c r="C103" s="145" t="s">
        <v>75</v>
      </c>
      <c r="D103" s="3" t="s">
        <v>6</v>
      </c>
      <c r="E103" s="7">
        <f>SUM(F103:H103)</f>
        <v>737750</v>
      </c>
      <c r="F103" s="7">
        <f>SUM(F104:F105)</f>
        <v>737750</v>
      </c>
      <c r="G103" s="7">
        <f>SUM(G104:G105)</f>
        <v>0</v>
      </c>
      <c r="H103" s="7">
        <f>SUM(H104:H105)</f>
        <v>0</v>
      </c>
      <c r="I103" s="132" t="s">
        <v>86</v>
      </c>
      <c r="J103" s="129" t="s">
        <v>9</v>
      </c>
      <c r="K103" s="129">
        <v>95</v>
      </c>
      <c r="L103" s="129">
        <v>95</v>
      </c>
      <c r="M103" s="129">
        <v>95</v>
      </c>
    </row>
    <row r="104" spans="1:13" ht="21" customHeight="1" x14ac:dyDescent="0.25">
      <c r="A104" s="136"/>
      <c r="B104" s="133"/>
      <c r="C104" s="145"/>
      <c r="D104" s="4" t="s">
        <v>10</v>
      </c>
      <c r="E104" s="5">
        <f t="shared" si="11"/>
        <v>0</v>
      </c>
      <c r="F104" s="8">
        <v>0</v>
      </c>
      <c r="G104" s="8">
        <v>0</v>
      </c>
      <c r="H104" s="8">
        <v>0</v>
      </c>
      <c r="I104" s="133"/>
      <c r="J104" s="130"/>
      <c r="K104" s="130"/>
      <c r="L104" s="130"/>
      <c r="M104" s="130"/>
    </row>
    <row r="105" spans="1:13" ht="21" customHeight="1" x14ac:dyDescent="0.25">
      <c r="A105" s="137"/>
      <c r="B105" s="134"/>
      <c r="C105" s="145"/>
      <c r="D105" s="4" t="s">
        <v>11</v>
      </c>
      <c r="E105" s="5">
        <f t="shared" si="11"/>
        <v>737750</v>
      </c>
      <c r="F105" s="8">
        <v>737750</v>
      </c>
      <c r="G105" s="8">
        <v>0</v>
      </c>
      <c r="H105" s="8">
        <v>0</v>
      </c>
      <c r="I105" s="134"/>
      <c r="J105" s="131"/>
      <c r="K105" s="131"/>
      <c r="L105" s="131"/>
      <c r="M105" s="131"/>
    </row>
    <row r="106" spans="1:13" ht="21" customHeight="1" x14ac:dyDescent="0.25">
      <c r="A106" s="135" t="s">
        <v>116</v>
      </c>
      <c r="B106" s="132" t="s">
        <v>69</v>
      </c>
      <c r="C106" s="145" t="s">
        <v>75</v>
      </c>
      <c r="D106" s="3" t="s">
        <v>6</v>
      </c>
      <c r="E106" s="7">
        <f>SUM(F106:H106)</f>
        <v>518558.87</v>
      </c>
      <c r="F106" s="7">
        <f>SUM(F107:F108)</f>
        <v>80300</v>
      </c>
      <c r="G106" s="7">
        <f>SUM(G107:G108)</f>
        <v>438258.87</v>
      </c>
      <c r="H106" s="7">
        <f>SUM(H107:H108)</f>
        <v>0</v>
      </c>
      <c r="I106" s="132" t="s">
        <v>87</v>
      </c>
      <c r="J106" s="129" t="s">
        <v>9</v>
      </c>
      <c r="K106" s="129">
        <v>5</v>
      </c>
      <c r="L106" s="129">
        <v>10</v>
      </c>
      <c r="M106" s="129">
        <v>10</v>
      </c>
    </row>
    <row r="107" spans="1:13" ht="21" customHeight="1" x14ac:dyDescent="0.25">
      <c r="A107" s="136"/>
      <c r="B107" s="133"/>
      <c r="C107" s="145"/>
      <c r="D107" s="4" t="s">
        <v>10</v>
      </c>
      <c r="E107" s="5">
        <f t="shared" si="11"/>
        <v>0</v>
      </c>
      <c r="F107" s="8">
        <v>0</v>
      </c>
      <c r="G107" s="8">
        <v>0</v>
      </c>
      <c r="H107" s="8">
        <v>0</v>
      </c>
      <c r="I107" s="133"/>
      <c r="J107" s="130"/>
      <c r="K107" s="130"/>
      <c r="L107" s="130"/>
      <c r="M107" s="130"/>
    </row>
    <row r="108" spans="1:13" ht="21" customHeight="1" x14ac:dyDescent="0.25">
      <c r="A108" s="137"/>
      <c r="B108" s="134"/>
      <c r="C108" s="145"/>
      <c r="D108" s="4" t="s">
        <v>11</v>
      </c>
      <c r="E108" s="5">
        <f t="shared" si="11"/>
        <v>518558.87</v>
      </c>
      <c r="F108" s="8">
        <v>80300</v>
      </c>
      <c r="G108" s="8">
        <f>600010-161751.13</f>
        <v>438258.87</v>
      </c>
      <c r="H108" s="8">
        <v>0</v>
      </c>
      <c r="I108" s="134"/>
      <c r="J108" s="131"/>
      <c r="K108" s="131"/>
      <c r="L108" s="131"/>
      <c r="M108" s="131"/>
    </row>
    <row r="109" spans="1:13" ht="21" customHeight="1" x14ac:dyDescent="0.25">
      <c r="A109" s="135" t="s">
        <v>117</v>
      </c>
      <c r="B109" s="132" t="s">
        <v>39</v>
      </c>
      <c r="C109" s="145" t="s">
        <v>75</v>
      </c>
      <c r="D109" s="3" t="s">
        <v>6</v>
      </c>
      <c r="E109" s="7">
        <f>SUM(F109:H109)</f>
        <v>841432</v>
      </c>
      <c r="F109" s="7">
        <f>SUM(F110:F111)</f>
        <v>541432</v>
      </c>
      <c r="G109" s="7">
        <f>SUM(G110:G111)</f>
        <v>300000</v>
      </c>
      <c r="H109" s="7">
        <f>SUM(H110:H111)</f>
        <v>0</v>
      </c>
      <c r="I109" s="132" t="s">
        <v>88</v>
      </c>
      <c r="J109" s="129" t="s">
        <v>9</v>
      </c>
      <c r="K109" s="129">
        <v>55</v>
      </c>
      <c r="L109" s="129">
        <v>60</v>
      </c>
      <c r="M109" s="129">
        <v>100</v>
      </c>
    </row>
    <row r="110" spans="1:13" ht="21" customHeight="1" x14ac:dyDescent="0.25">
      <c r="A110" s="136"/>
      <c r="B110" s="133"/>
      <c r="C110" s="145"/>
      <c r="D110" s="4" t="s">
        <v>10</v>
      </c>
      <c r="E110" s="5">
        <f t="shared" si="11"/>
        <v>0</v>
      </c>
      <c r="F110" s="8">
        <v>0</v>
      </c>
      <c r="G110" s="8">
        <v>0</v>
      </c>
      <c r="H110" s="8">
        <v>0</v>
      </c>
      <c r="I110" s="133"/>
      <c r="J110" s="130"/>
      <c r="K110" s="130"/>
      <c r="L110" s="130"/>
      <c r="M110" s="130"/>
    </row>
    <row r="111" spans="1:13" ht="21" customHeight="1" x14ac:dyDescent="0.25">
      <c r="A111" s="137"/>
      <c r="B111" s="134"/>
      <c r="C111" s="145"/>
      <c r="D111" s="4" t="s">
        <v>11</v>
      </c>
      <c r="E111" s="5">
        <f t="shared" si="11"/>
        <v>841432</v>
      </c>
      <c r="F111" s="8">
        <v>541432</v>
      </c>
      <c r="G111" s="8">
        <v>300000</v>
      </c>
      <c r="H111" s="8">
        <v>0</v>
      </c>
      <c r="I111" s="134"/>
      <c r="J111" s="131"/>
      <c r="K111" s="131"/>
      <c r="L111" s="131"/>
      <c r="M111" s="131"/>
    </row>
    <row r="112" spans="1:13" ht="21" customHeight="1" x14ac:dyDescent="0.25">
      <c r="A112" s="135" t="s">
        <v>118</v>
      </c>
      <c r="B112" s="132" t="s">
        <v>40</v>
      </c>
      <c r="C112" s="145" t="s">
        <v>75</v>
      </c>
      <c r="D112" s="3" t="s">
        <v>6</v>
      </c>
      <c r="E112" s="7">
        <f>SUM(F112:H112)</f>
        <v>1848102</v>
      </c>
      <c r="F112" s="7">
        <f>SUM(F113:F114)</f>
        <v>1463200</v>
      </c>
      <c r="G112" s="7">
        <f>SUM(G113:G114)</f>
        <v>0</v>
      </c>
      <c r="H112" s="7">
        <f>SUM(H113:H114)</f>
        <v>384902</v>
      </c>
      <c r="I112" s="132" t="s">
        <v>89</v>
      </c>
      <c r="J112" s="129" t="s">
        <v>9</v>
      </c>
      <c r="K112" s="129">
        <v>95</v>
      </c>
      <c r="L112" s="129">
        <v>95</v>
      </c>
      <c r="M112" s="129">
        <v>96</v>
      </c>
    </row>
    <row r="113" spans="1:13" ht="21" customHeight="1" x14ac:dyDescent="0.25">
      <c r="A113" s="136"/>
      <c r="B113" s="133"/>
      <c r="C113" s="145"/>
      <c r="D113" s="4" t="s">
        <v>10</v>
      </c>
      <c r="E113" s="5">
        <f t="shared" si="11"/>
        <v>0</v>
      </c>
      <c r="F113" s="8">
        <v>0</v>
      </c>
      <c r="G113" s="8">
        <v>0</v>
      </c>
      <c r="H113" s="8">
        <v>0</v>
      </c>
      <c r="I113" s="133"/>
      <c r="J113" s="130"/>
      <c r="K113" s="130"/>
      <c r="L113" s="130"/>
      <c r="M113" s="130"/>
    </row>
    <row r="114" spans="1:13" ht="21" customHeight="1" x14ac:dyDescent="0.25">
      <c r="A114" s="137"/>
      <c r="B114" s="134"/>
      <c r="C114" s="145"/>
      <c r="D114" s="4" t="s">
        <v>11</v>
      </c>
      <c r="E114" s="5">
        <f t="shared" si="11"/>
        <v>1848102</v>
      </c>
      <c r="F114" s="8">
        <v>1463200</v>
      </c>
      <c r="G114" s="8">
        <v>0</v>
      </c>
      <c r="H114" s="8">
        <v>384902</v>
      </c>
      <c r="I114" s="134"/>
      <c r="J114" s="131"/>
      <c r="K114" s="131"/>
      <c r="L114" s="131"/>
      <c r="M114" s="131"/>
    </row>
    <row r="115" spans="1:13" ht="21" customHeight="1" x14ac:dyDescent="0.25">
      <c r="A115" s="135" t="s">
        <v>119</v>
      </c>
      <c r="B115" s="132" t="s">
        <v>126</v>
      </c>
      <c r="C115" s="145" t="s">
        <v>75</v>
      </c>
      <c r="D115" s="3" t="s">
        <v>6</v>
      </c>
      <c r="E115" s="7">
        <f>SUM(F115:H115)</f>
        <v>403715.4</v>
      </c>
      <c r="F115" s="7">
        <f>SUM(F116:F117)</f>
        <v>100000</v>
      </c>
      <c r="G115" s="7">
        <f>SUM(G116:G117)</f>
        <v>201050</v>
      </c>
      <c r="H115" s="7">
        <f>SUM(H116:H117)</f>
        <v>102665.4</v>
      </c>
      <c r="I115" s="132" t="s">
        <v>90</v>
      </c>
      <c r="J115" s="129" t="s">
        <v>9</v>
      </c>
      <c r="K115" s="129">
        <v>95</v>
      </c>
      <c r="L115" s="129">
        <v>97</v>
      </c>
      <c r="M115" s="129">
        <v>100</v>
      </c>
    </row>
    <row r="116" spans="1:13" ht="21" customHeight="1" x14ac:dyDescent="0.25">
      <c r="A116" s="136"/>
      <c r="B116" s="133"/>
      <c r="C116" s="145"/>
      <c r="D116" s="4" t="s">
        <v>10</v>
      </c>
      <c r="E116" s="5">
        <f t="shared" si="11"/>
        <v>0</v>
      </c>
      <c r="F116" s="8">
        <v>0</v>
      </c>
      <c r="G116" s="8">
        <v>0</v>
      </c>
      <c r="H116" s="8">
        <v>0</v>
      </c>
      <c r="I116" s="133"/>
      <c r="J116" s="130"/>
      <c r="K116" s="130"/>
      <c r="L116" s="130"/>
      <c r="M116" s="130"/>
    </row>
    <row r="117" spans="1:13" ht="21" customHeight="1" x14ac:dyDescent="0.25">
      <c r="A117" s="137"/>
      <c r="B117" s="134"/>
      <c r="C117" s="145"/>
      <c r="D117" s="4" t="s">
        <v>11</v>
      </c>
      <c r="E117" s="5">
        <f t="shared" si="11"/>
        <v>403715.4</v>
      </c>
      <c r="F117" s="8">
        <v>100000</v>
      </c>
      <c r="G117" s="8">
        <f>27000+174050</f>
        <v>201050</v>
      </c>
      <c r="H117" s="8">
        <v>102665.4</v>
      </c>
      <c r="I117" s="134"/>
      <c r="J117" s="131"/>
      <c r="K117" s="131"/>
      <c r="L117" s="131"/>
      <c r="M117" s="131"/>
    </row>
    <row r="118" spans="1:13" ht="21" customHeight="1" x14ac:dyDescent="0.25">
      <c r="A118" s="135" t="s">
        <v>120</v>
      </c>
      <c r="B118" s="132" t="s">
        <v>127</v>
      </c>
      <c r="C118" s="145" t="s">
        <v>75</v>
      </c>
      <c r="D118" s="3" t="s">
        <v>6</v>
      </c>
      <c r="E118" s="7">
        <f>SUM(F118:H118)</f>
        <v>1230505</v>
      </c>
      <c r="F118" s="7">
        <f>SUM(F119:F120)</f>
        <v>740166</v>
      </c>
      <c r="G118" s="7">
        <f>SUM(G119:G120)</f>
        <v>199999</v>
      </c>
      <c r="H118" s="7">
        <v>290340</v>
      </c>
      <c r="I118" s="132" t="s">
        <v>128</v>
      </c>
      <c r="J118" s="129" t="s">
        <v>9</v>
      </c>
      <c r="K118" s="129">
        <v>90</v>
      </c>
      <c r="L118" s="129">
        <v>95</v>
      </c>
      <c r="M118" s="129">
        <v>97</v>
      </c>
    </row>
    <row r="119" spans="1:13" ht="21" customHeight="1" x14ac:dyDescent="0.25">
      <c r="A119" s="136"/>
      <c r="B119" s="133"/>
      <c r="C119" s="145"/>
      <c r="D119" s="4" t="s">
        <v>10</v>
      </c>
      <c r="E119" s="5">
        <f t="shared" si="11"/>
        <v>0</v>
      </c>
      <c r="F119" s="8">
        <v>0</v>
      </c>
      <c r="G119" s="8">
        <v>0</v>
      </c>
      <c r="H119" s="8">
        <v>0</v>
      </c>
      <c r="I119" s="133"/>
      <c r="J119" s="130"/>
      <c r="K119" s="130"/>
      <c r="L119" s="130"/>
      <c r="M119" s="130"/>
    </row>
    <row r="120" spans="1:13" ht="21" customHeight="1" x14ac:dyDescent="0.25">
      <c r="A120" s="137"/>
      <c r="B120" s="134"/>
      <c r="C120" s="145"/>
      <c r="D120" s="4" t="s">
        <v>11</v>
      </c>
      <c r="E120" s="5">
        <f t="shared" si="11"/>
        <v>1230505</v>
      </c>
      <c r="F120" s="8">
        <v>740166</v>
      </c>
      <c r="G120" s="8">
        <f>200000-1</f>
        <v>199999</v>
      </c>
      <c r="H120" s="8">
        <v>290340</v>
      </c>
      <c r="I120" s="134"/>
      <c r="J120" s="131"/>
      <c r="K120" s="131"/>
      <c r="L120" s="131"/>
      <c r="M120" s="131"/>
    </row>
    <row r="121" spans="1:13" ht="21" customHeight="1" x14ac:dyDescent="0.25">
      <c r="A121" s="135" t="s">
        <v>121</v>
      </c>
      <c r="B121" s="132" t="s">
        <v>70</v>
      </c>
      <c r="C121" s="145" t="s">
        <v>75</v>
      </c>
      <c r="D121" s="3" t="s">
        <v>6</v>
      </c>
      <c r="E121" s="7">
        <f>SUM(F121:H121)</f>
        <v>1378400</v>
      </c>
      <c r="F121" s="7">
        <f>SUM(F122:F123)</f>
        <v>1378400</v>
      </c>
      <c r="G121" s="7">
        <f>SUM(G122:G123)</f>
        <v>0</v>
      </c>
      <c r="H121" s="7">
        <f>SUM(H122:H123)</f>
        <v>0</v>
      </c>
      <c r="I121" s="132" t="s">
        <v>91</v>
      </c>
      <c r="J121" s="129" t="s">
        <v>9</v>
      </c>
      <c r="K121" s="129">
        <v>100</v>
      </c>
      <c r="L121" s="129" t="s">
        <v>93</v>
      </c>
      <c r="M121" s="135" t="s">
        <v>93</v>
      </c>
    </row>
    <row r="122" spans="1:13" ht="21" customHeight="1" x14ac:dyDescent="0.25">
      <c r="A122" s="136"/>
      <c r="B122" s="133"/>
      <c r="C122" s="145"/>
      <c r="D122" s="4" t="s">
        <v>10</v>
      </c>
      <c r="E122" s="5">
        <f t="shared" si="11"/>
        <v>0</v>
      </c>
      <c r="F122" s="8">
        <v>0</v>
      </c>
      <c r="G122" s="8">
        <v>0</v>
      </c>
      <c r="H122" s="8">
        <v>0</v>
      </c>
      <c r="I122" s="133"/>
      <c r="J122" s="130"/>
      <c r="K122" s="130"/>
      <c r="L122" s="130"/>
      <c r="M122" s="136"/>
    </row>
    <row r="123" spans="1:13" ht="21" customHeight="1" x14ac:dyDescent="0.25">
      <c r="A123" s="137"/>
      <c r="B123" s="134"/>
      <c r="C123" s="145"/>
      <c r="D123" s="4" t="s">
        <v>11</v>
      </c>
      <c r="E123" s="5">
        <f t="shared" si="11"/>
        <v>1378400</v>
      </c>
      <c r="F123" s="8">
        <v>1378400</v>
      </c>
      <c r="G123" s="8">
        <v>0</v>
      </c>
      <c r="H123" s="8">
        <v>0</v>
      </c>
      <c r="I123" s="134"/>
      <c r="J123" s="131"/>
      <c r="K123" s="131"/>
      <c r="L123" s="131"/>
      <c r="M123" s="137"/>
    </row>
    <row r="124" spans="1:13" ht="21" customHeight="1" x14ac:dyDescent="0.25">
      <c r="A124" s="135" t="s">
        <v>122</v>
      </c>
      <c r="B124" s="132" t="s">
        <v>41</v>
      </c>
      <c r="C124" s="145" t="s">
        <v>75</v>
      </c>
      <c r="D124" s="3" t="s">
        <v>6</v>
      </c>
      <c r="E124" s="7">
        <f>SUM(F124:H124)</f>
        <v>1057561.6000000001</v>
      </c>
      <c r="F124" s="7">
        <f>SUM(F125:F126)</f>
        <v>0</v>
      </c>
      <c r="G124" s="7">
        <f>SUM(G125:G126)</f>
        <v>1057561.6000000001</v>
      </c>
      <c r="H124" s="7">
        <f>SUM(H125:H126)</f>
        <v>0</v>
      </c>
      <c r="I124" s="132" t="s">
        <v>92</v>
      </c>
      <c r="J124" s="129" t="s">
        <v>9</v>
      </c>
      <c r="K124" s="129" t="s">
        <v>93</v>
      </c>
      <c r="L124" s="129">
        <v>15</v>
      </c>
      <c r="M124" s="129">
        <v>15</v>
      </c>
    </row>
    <row r="125" spans="1:13" ht="21" customHeight="1" x14ac:dyDescent="0.25">
      <c r="A125" s="136"/>
      <c r="B125" s="133"/>
      <c r="C125" s="145"/>
      <c r="D125" s="4" t="s">
        <v>10</v>
      </c>
      <c r="E125" s="5">
        <f t="shared" si="11"/>
        <v>0</v>
      </c>
      <c r="F125" s="8">
        <v>0</v>
      </c>
      <c r="G125" s="8">
        <v>0</v>
      </c>
      <c r="H125" s="8">
        <v>0</v>
      </c>
      <c r="I125" s="133"/>
      <c r="J125" s="130"/>
      <c r="K125" s="130"/>
      <c r="L125" s="130"/>
      <c r="M125" s="130"/>
    </row>
    <row r="126" spans="1:13" ht="21" customHeight="1" x14ac:dyDescent="0.25">
      <c r="A126" s="137"/>
      <c r="B126" s="134"/>
      <c r="C126" s="145"/>
      <c r="D126" s="4" t="s">
        <v>11</v>
      </c>
      <c r="E126" s="5">
        <f t="shared" si="11"/>
        <v>1057561.6000000001</v>
      </c>
      <c r="F126" s="8">
        <v>0</v>
      </c>
      <c r="G126" s="8">
        <f>1057570-8.4</f>
        <v>1057561.6000000001</v>
      </c>
      <c r="H126" s="8">
        <v>0</v>
      </c>
      <c r="I126" s="134"/>
      <c r="J126" s="131"/>
      <c r="K126" s="131"/>
      <c r="L126" s="131"/>
      <c r="M126" s="131"/>
    </row>
    <row r="127" spans="1:13" ht="21" customHeight="1" x14ac:dyDescent="0.25">
      <c r="A127" s="135" t="s">
        <v>123</v>
      </c>
      <c r="B127" s="132" t="s">
        <v>42</v>
      </c>
      <c r="C127" s="145" t="s">
        <v>75</v>
      </c>
      <c r="D127" s="3" t="s">
        <v>6</v>
      </c>
      <c r="E127" s="7">
        <f>SUM(F127:H127)</f>
        <v>1261137.76</v>
      </c>
      <c r="F127" s="7">
        <f>SUM(F128:F129)</f>
        <v>0</v>
      </c>
      <c r="G127" s="7">
        <f>SUM(G128:G129)</f>
        <v>747416.4</v>
      </c>
      <c r="H127" s="7">
        <v>513721.36</v>
      </c>
      <c r="I127" s="132" t="s">
        <v>94</v>
      </c>
      <c r="J127" s="129" t="s">
        <v>9</v>
      </c>
      <c r="K127" s="129" t="s">
        <v>93</v>
      </c>
      <c r="L127" s="129">
        <v>20</v>
      </c>
      <c r="M127" s="129">
        <v>16.600000000000001</v>
      </c>
    </row>
    <row r="128" spans="1:13" ht="21" customHeight="1" x14ac:dyDescent="0.25">
      <c r="A128" s="136"/>
      <c r="B128" s="133"/>
      <c r="C128" s="145"/>
      <c r="D128" s="4" t="s">
        <v>10</v>
      </c>
      <c r="E128" s="5">
        <f t="shared" si="11"/>
        <v>0</v>
      </c>
      <c r="F128" s="8">
        <v>0</v>
      </c>
      <c r="G128" s="8">
        <v>0</v>
      </c>
      <c r="H128" s="8">
        <v>0</v>
      </c>
      <c r="I128" s="133"/>
      <c r="J128" s="130"/>
      <c r="K128" s="130"/>
      <c r="L128" s="130"/>
      <c r="M128" s="130"/>
    </row>
    <row r="129" spans="1:13" ht="21" customHeight="1" x14ac:dyDescent="0.25">
      <c r="A129" s="137"/>
      <c r="B129" s="134"/>
      <c r="C129" s="145"/>
      <c r="D129" s="4" t="s">
        <v>11</v>
      </c>
      <c r="E129" s="5">
        <f t="shared" si="11"/>
        <v>1261137.76</v>
      </c>
      <c r="F129" s="8">
        <v>0</v>
      </c>
      <c r="G129" s="8">
        <f>707220+40196.4</f>
        <v>747416.4</v>
      </c>
      <c r="H129" s="8">
        <v>513721.36</v>
      </c>
      <c r="I129" s="134"/>
      <c r="J129" s="131"/>
      <c r="K129" s="131"/>
      <c r="L129" s="131"/>
      <c r="M129" s="131"/>
    </row>
    <row r="130" spans="1:13" ht="21" customHeight="1" x14ac:dyDescent="0.25">
      <c r="A130" s="135" t="s">
        <v>124</v>
      </c>
      <c r="B130" s="132" t="s">
        <v>43</v>
      </c>
      <c r="C130" s="145" t="s">
        <v>75</v>
      </c>
      <c r="D130" s="3" t="s">
        <v>6</v>
      </c>
      <c r="E130" s="7">
        <f>SUM(F130:H130)</f>
        <v>462792.57999999996</v>
      </c>
      <c r="F130" s="7">
        <f>SUM(F131:F132)</f>
        <v>0</v>
      </c>
      <c r="G130" s="7">
        <f>SUM(G131:G132)</f>
        <v>462792.57999999996</v>
      </c>
      <c r="H130" s="7">
        <f>SUM(H131:H132)</f>
        <v>0</v>
      </c>
      <c r="I130" s="132" t="s">
        <v>97</v>
      </c>
      <c r="J130" s="129" t="s">
        <v>9</v>
      </c>
      <c r="K130" s="135" t="s">
        <v>99</v>
      </c>
      <c r="L130" s="135" t="s">
        <v>98</v>
      </c>
      <c r="M130" s="129">
        <v>4.2</v>
      </c>
    </row>
    <row r="131" spans="1:13" ht="21" customHeight="1" x14ac:dyDescent="0.25">
      <c r="A131" s="136"/>
      <c r="B131" s="133"/>
      <c r="C131" s="145"/>
      <c r="D131" s="4" t="s">
        <v>10</v>
      </c>
      <c r="E131" s="5">
        <f t="shared" si="11"/>
        <v>0</v>
      </c>
      <c r="F131" s="8">
        <v>0</v>
      </c>
      <c r="G131" s="8">
        <v>0</v>
      </c>
      <c r="H131" s="8">
        <v>0</v>
      </c>
      <c r="I131" s="133"/>
      <c r="J131" s="130"/>
      <c r="K131" s="136"/>
      <c r="L131" s="136"/>
      <c r="M131" s="130"/>
    </row>
    <row r="132" spans="1:13" ht="21" customHeight="1" x14ac:dyDescent="0.25">
      <c r="A132" s="137"/>
      <c r="B132" s="134"/>
      <c r="C132" s="145"/>
      <c r="D132" s="4" t="s">
        <v>11</v>
      </c>
      <c r="E132" s="5">
        <f t="shared" si="11"/>
        <v>462792.57999999996</v>
      </c>
      <c r="F132" s="8">
        <v>0</v>
      </c>
      <c r="G132" s="8">
        <f>56250+150000+256542.58</f>
        <v>462792.57999999996</v>
      </c>
      <c r="H132" s="8">
        <v>0</v>
      </c>
      <c r="I132" s="134"/>
      <c r="J132" s="131"/>
      <c r="K132" s="137"/>
      <c r="L132" s="137"/>
      <c r="M132" s="131"/>
    </row>
    <row r="133" spans="1:13" s="6" customFormat="1" ht="13.5" customHeight="1" x14ac:dyDescent="0.2">
      <c r="A133" s="147" t="s">
        <v>74</v>
      </c>
      <c r="B133" s="147"/>
      <c r="C133" s="147"/>
      <c r="D133" s="11" t="s">
        <v>6</v>
      </c>
      <c r="E133" s="7">
        <f t="shared" ref="E133:E138" si="12">SUM(F133:H133)</f>
        <v>35109057</v>
      </c>
      <c r="F133" s="7">
        <f>SUM(F134:F135)</f>
        <v>18846257</v>
      </c>
      <c r="G133" s="7">
        <f>SUM(G134:G135)</f>
        <v>9064430</v>
      </c>
      <c r="H133" s="7">
        <f>SUM(H134:H135)</f>
        <v>7198370.0000000009</v>
      </c>
      <c r="I133" s="132"/>
      <c r="J133" s="129"/>
      <c r="K133" s="129"/>
      <c r="L133" s="129"/>
      <c r="M133" s="129"/>
    </row>
    <row r="134" spans="1:13" s="6" customFormat="1" ht="13.5" customHeight="1" x14ac:dyDescent="0.2">
      <c r="A134" s="147"/>
      <c r="B134" s="147"/>
      <c r="C134" s="147"/>
      <c r="D134" s="11" t="s">
        <v>10</v>
      </c>
      <c r="E134" s="7">
        <f t="shared" si="12"/>
        <v>1600000</v>
      </c>
      <c r="F134" s="7">
        <f t="shared" ref="F134:H135" si="13">F80</f>
        <v>0</v>
      </c>
      <c r="G134" s="7">
        <f t="shared" si="13"/>
        <v>1600000</v>
      </c>
      <c r="H134" s="7">
        <f t="shared" si="13"/>
        <v>0</v>
      </c>
      <c r="I134" s="133"/>
      <c r="J134" s="130"/>
      <c r="K134" s="130"/>
      <c r="L134" s="130"/>
      <c r="M134" s="130"/>
    </row>
    <row r="135" spans="1:13" s="6" customFormat="1" ht="13.5" customHeight="1" x14ac:dyDescent="0.2">
      <c r="A135" s="147"/>
      <c r="B135" s="147"/>
      <c r="C135" s="147"/>
      <c r="D135" s="11" t="s">
        <v>11</v>
      </c>
      <c r="E135" s="7">
        <f t="shared" si="12"/>
        <v>33509057</v>
      </c>
      <c r="F135" s="7">
        <f t="shared" si="13"/>
        <v>18846257</v>
      </c>
      <c r="G135" s="7">
        <f t="shared" si="13"/>
        <v>7464430</v>
      </c>
      <c r="H135" s="7">
        <f t="shared" si="13"/>
        <v>7198370.0000000009</v>
      </c>
      <c r="I135" s="134"/>
      <c r="J135" s="131"/>
      <c r="K135" s="131"/>
      <c r="L135" s="131"/>
      <c r="M135" s="131"/>
    </row>
    <row r="136" spans="1:13" s="6" customFormat="1" ht="13.5" customHeight="1" x14ac:dyDescent="0.2">
      <c r="A136" s="148" t="s">
        <v>44</v>
      </c>
      <c r="B136" s="149"/>
      <c r="C136" s="150"/>
      <c r="D136" s="11" t="s">
        <v>6</v>
      </c>
      <c r="E136" s="7">
        <f t="shared" si="12"/>
        <v>51814799</v>
      </c>
      <c r="F136" s="7">
        <f>SUM(F137:F138)</f>
        <v>24923869</v>
      </c>
      <c r="G136" s="7">
        <f>SUM(G137:G138)</f>
        <v>15729760</v>
      </c>
      <c r="H136" s="7">
        <f>SUM(H137:H138)</f>
        <v>11161170</v>
      </c>
      <c r="I136" s="132"/>
      <c r="J136" s="129"/>
      <c r="K136" s="129"/>
      <c r="L136" s="129"/>
      <c r="M136" s="129"/>
    </row>
    <row r="137" spans="1:13" s="6" customFormat="1" ht="13.5" customHeight="1" x14ac:dyDescent="0.2">
      <c r="A137" s="151"/>
      <c r="B137" s="152"/>
      <c r="C137" s="153"/>
      <c r="D137" s="11" t="s">
        <v>10</v>
      </c>
      <c r="E137" s="7">
        <f t="shared" si="12"/>
        <v>3878600</v>
      </c>
      <c r="F137" s="7">
        <f t="shared" ref="F137:H138" si="14">F51+F76+F134</f>
        <v>625000</v>
      </c>
      <c r="G137" s="7">
        <f t="shared" si="14"/>
        <v>3253600</v>
      </c>
      <c r="H137" s="7">
        <f t="shared" si="14"/>
        <v>0</v>
      </c>
      <c r="I137" s="133"/>
      <c r="J137" s="130"/>
      <c r="K137" s="130"/>
      <c r="L137" s="130"/>
      <c r="M137" s="130"/>
    </row>
    <row r="138" spans="1:13" s="6" customFormat="1" ht="13.5" customHeight="1" x14ac:dyDescent="0.2">
      <c r="A138" s="154"/>
      <c r="B138" s="155"/>
      <c r="C138" s="156"/>
      <c r="D138" s="11" t="s">
        <v>11</v>
      </c>
      <c r="E138" s="7">
        <f t="shared" si="12"/>
        <v>47936199</v>
      </c>
      <c r="F138" s="7">
        <f t="shared" si="14"/>
        <v>24298869</v>
      </c>
      <c r="G138" s="7">
        <f t="shared" si="14"/>
        <v>12476160</v>
      </c>
      <c r="H138" s="7">
        <f t="shared" si="14"/>
        <v>11161170</v>
      </c>
      <c r="I138" s="134"/>
      <c r="J138" s="131"/>
      <c r="K138" s="131"/>
      <c r="L138" s="131"/>
      <c r="M138" s="131"/>
    </row>
    <row r="142" spans="1:13" x14ac:dyDescent="0.25">
      <c r="D142" s="13"/>
      <c r="E142" s="13"/>
      <c r="F142" s="13"/>
      <c r="G142" s="13"/>
      <c r="H142" s="13"/>
    </row>
  </sheetData>
  <mergeCells count="322">
    <mergeCell ref="C69:C71"/>
    <mergeCell ref="I69:I74"/>
    <mergeCell ref="J69:J74"/>
    <mergeCell ref="K69:K74"/>
    <mergeCell ref="L69:L74"/>
    <mergeCell ref="M69:M74"/>
    <mergeCell ref="A69:A71"/>
    <mergeCell ref="B69:B71"/>
    <mergeCell ref="A17:A19"/>
    <mergeCell ref="B17:B19"/>
    <mergeCell ref="A9:M9"/>
    <mergeCell ref="C5:C7"/>
    <mergeCell ref="D5:D7"/>
    <mergeCell ref="E5:H5"/>
    <mergeCell ref="C17:C19"/>
    <mergeCell ref="B10:M10"/>
    <mergeCell ref="B11:B13"/>
    <mergeCell ref="C11:C13"/>
    <mergeCell ref="C20:C22"/>
    <mergeCell ref="L20:L22"/>
    <mergeCell ref="M20:M22"/>
    <mergeCell ref="M11:M13"/>
    <mergeCell ref="L11:L13"/>
    <mergeCell ref="L17:L19"/>
    <mergeCell ref="M17:M19"/>
    <mergeCell ref="L14:L16"/>
    <mergeCell ref="K23:K25"/>
    <mergeCell ref="I26:I28"/>
    <mergeCell ref="J26:J28"/>
    <mergeCell ref="I17:I19"/>
    <mergeCell ref="K17:K19"/>
    <mergeCell ref="A23:A25"/>
    <mergeCell ref="B23:B25"/>
    <mergeCell ref="C23:C25"/>
    <mergeCell ref="A20:A22"/>
    <mergeCell ref="B20:B22"/>
    <mergeCell ref="L29:L31"/>
    <mergeCell ref="M29:M31"/>
    <mergeCell ref="A26:A28"/>
    <mergeCell ref="L23:L25"/>
    <mergeCell ref="M26:M28"/>
    <mergeCell ref="L26:L28"/>
    <mergeCell ref="M23:M25"/>
    <mergeCell ref="I29:I31"/>
    <mergeCell ref="I23:I25"/>
    <mergeCell ref="J23:J25"/>
    <mergeCell ref="B26:B28"/>
    <mergeCell ref="C26:C28"/>
    <mergeCell ref="A29:A31"/>
    <mergeCell ref="B29:B31"/>
    <mergeCell ref="C29:C31"/>
    <mergeCell ref="K26:K28"/>
    <mergeCell ref="J29:J31"/>
    <mergeCell ref="K29:K31"/>
    <mergeCell ref="M32:M34"/>
    <mergeCell ref="A35:A37"/>
    <mergeCell ref="B35:B37"/>
    <mergeCell ref="C35:C37"/>
    <mergeCell ref="K35:K37"/>
    <mergeCell ref="L35:L37"/>
    <mergeCell ref="M35:M37"/>
    <mergeCell ref="A32:A34"/>
    <mergeCell ref="B32:B34"/>
    <mergeCell ref="C32:C34"/>
    <mergeCell ref="B38:B40"/>
    <mergeCell ref="C38:C40"/>
    <mergeCell ref="J44:J46"/>
    <mergeCell ref="L32:L34"/>
    <mergeCell ref="L38:L40"/>
    <mergeCell ref="M38:M40"/>
    <mergeCell ref="M41:M43"/>
    <mergeCell ref="I32:I34"/>
    <mergeCell ref="J32:J34"/>
    <mergeCell ref="K32:K34"/>
    <mergeCell ref="M44:M46"/>
    <mergeCell ref="L47:L49"/>
    <mergeCell ref="I44:I46"/>
    <mergeCell ref="I47:I49"/>
    <mergeCell ref="A41:A43"/>
    <mergeCell ref="B41:B43"/>
    <mergeCell ref="C41:C43"/>
    <mergeCell ref="I41:I43"/>
    <mergeCell ref="J41:J43"/>
    <mergeCell ref="K41:K43"/>
    <mergeCell ref="B63:B65"/>
    <mergeCell ref="C63:C65"/>
    <mergeCell ref="A60:A62"/>
    <mergeCell ref="B60:B62"/>
    <mergeCell ref="A38:A40"/>
    <mergeCell ref="M47:M49"/>
    <mergeCell ref="A44:A46"/>
    <mergeCell ref="B44:B46"/>
    <mergeCell ref="C44:C46"/>
    <mergeCell ref="K44:K46"/>
    <mergeCell ref="A72:A74"/>
    <mergeCell ref="B72:B74"/>
    <mergeCell ref="C72:C74"/>
    <mergeCell ref="A75:C77"/>
    <mergeCell ref="K75:K77"/>
    <mergeCell ref="M57:M68"/>
    <mergeCell ref="A66:A68"/>
    <mergeCell ref="B66:B68"/>
    <mergeCell ref="C66:C68"/>
    <mergeCell ref="A63:A65"/>
    <mergeCell ref="L75:L77"/>
    <mergeCell ref="I82:I84"/>
    <mergeCell ref="J82:J84"/>
    <mergeCell ref="K82:K84"/>
    <mergeCell ref="L82:L84"/>
    <mergeCell ref="A79:A81"/>
    <mergeCell ref="A82:A84"/>
    <mergeCell ref="B82:B84"/>
    <mergeCell ref="C82:C84"/>
    <mergeCell ref="K79:K81"/>
    <mergeCell ref="L79:L81"/>
    <mergeCell ref="B85:B87"/>
    <mergeCell ref="C85:C87"/>
    <mergeCell ref="I85:I87"/>
    <mergeCell ref="A88:A90"/>
    <mergeCell ref="B88:B90"/>
    <mergeCell ref="C88:C90"/>
    <mergeCell ref="I88:I90"/>
    <mergeCell ref="A85:A87"/>
    <mergeCell ref="M85:M87"/>
    <mergeCell ref="J88:J90"/>
    <mergeCell ref="K88:K90"/>
    <mergeCell ref="L88:L90"/>
    <mergeCell ref="M88:M90"/>
    <mergeCell ref="J85:J87"/>
    <mergeCell ref="K85:K87"/>
    <mergeCell ref="L85:L87"/>
    <mergeCell ref="M94:M96"/>
    <mergeCell ref="A91:A93"/>
    <mergeCell ref="I91:I93"/>
    <mergeCell ref="J91:J93"/>
    <mergeCell ref="K91:K93"/>
    <mergeCell ref="I97:I99"/>
    <mergeCell ref="A94:A96"/>
    <mergeCell ref="B94:B96"/>
    <mergeCell ref="C94:C96"/>
    <mergeCell ref="I94:I96"/>
    <mergeCell ref="M100:M102"/>
    <mergeCell ref="J97:J99"/>
    <mergeCell ref="K97:K99"/>
    <mergeCell ref="A100:A102"/>
    <mergeCell ref="B100:B102"/>
    <mergeCell ref="C100:C102"/>
    <mergeCell ref="I100:I102"/>
    <mergeCell ref="A97:A99"/>
    <mergeCell ref="B97:B99"/>
    <mergeCell ref="C97:C99"/>
    <mergeCell ref="A127:A129"/>
    <mergeCell ref="A115:A117"/>
    <mergeCell ref="B115:B117"/>
    <mergeCell ref="B118:B120"/>
    <mergeCell ref="A118:A120"/>
    <mergeCell ref="I118:I120"/>
    <mergeCell ref="A121:A123"/>
    <mergeCell ref="B121:B123"/>
    <mergeCell ref="C121:C123"/>
    <mergeCell ref="C124:C126"/>
    <mergeCell ref="B124:B126"/>
    <mergeCell ref="A124:A126"/>
    <mergeCell ref="B127:B129"/>
    <mergeCell ref="I124:I126"/>
    <mergeCell ref="J124:J126"/>
    <mergeCell ref="K124:K126"/>
    <mergeCell ref="I127:I129"/>
    <mergeCell ref="J127:J129"/>
    <mergeCell ref="K127:K129"/>
    <mergeCell ref="C127:C129"/>
    <mergeCell ref="A130:A132"/>
    <mergeCell ref="B130:B132"/>
    <mergeCell ref="C130:C132"/>
    <mergeCell ref="I130:I132"/>
    <mergeCell ref="A11:A13"/>
    <mergeCell ref="L44:L46"/>
    <mergeCell ref="A47:A49"/>
    <mergeCell ref="B47:B49"/>
    <mergeCell ref="C47:C49"/>
    <mergeCell ref="K47:K49"/>
    <mergeCell ref="J1:M1"/>
    <mergeCell ref="A3:M3"/>
    <mergeCell ref="B5:B7"/>
    <mergeCell ref="A5:A7"/>
    <mergeCell ref="I5:M6"/>
    <mergeCell ref="E6:E7"/>
    <mergeCell ref="F6:H6"/>
    <mergeCell ref="L41:L43"/>
    <mergeCell ref="J47:J49"/>
    <mergeCell ref="L57:L68"/>
    <mergeCell ref="C60:C62"/>
    <mergeCell ref="I57:I68"/>
    <mergeCell ref="J57:J68"/>
    <mergeCell ref="K57:K68"/>
    <mergeCell ref="L50:L52"/>
    <mergeCell ref="C112:C114"/>
    <mergeCell ref="A50:C52"/>
    <mergeCell ref="A106:A108"/>
    <mergeCell ref="A109:A111"/>
    <mergeCell ref="B109:B111"/>
    <mergeCell ref="B112:B114"/>
    <mergeCell ref="A112:A114"/>
    <mergeCell ref="A53:L53"/>
    <mergeCell ref="A103:A105"/>
    <mergeCell ref="B103:B105"/>
    <mergeCell ref="C91:C93"/>
    <mergeCell ref="C79:C81"/>
    <mergeCell ref="C106:C108"/>
    <mergeCell ref="C109:C111"/>
    <mergeCell ref="C103:C105"/>
    <mergeCell ref="K11:K13"/>
    <mergeCell ref="J17:J19"/>
    <mergeCell ref="I20:I22"/>
    <mergeCell ref="J20:J22"/>
    <mergeCell ref="K20:K22"/>
    <mergeCell ref="A133:C135"/>
    <mergeCell ref="A136:C138"/>
    <mergeCell ref="I11:I13"/>
    <mergeCell ref="J11:J13"/>
    <mergeCell ref="C115:C117"/>
    <mergeCell ref="I103:I105"/>
    <mergeCell ref="C118:C120"/>
    <mergeCell ref="B79:B81"/>
    <mergeCell ref="B106:B108"/>
    <mergeCell ref="B91:B93"/>
    <mergeCell ref="I38:I40"/>
    <mergeCell ref="J38:J40"/>
    <mergeCell ref="K38:K40"/>
    <mergeCell ref="I35:I37"/>
    <mergeCell ref="J35:J37"/>
    <mergeCell ref="M79:M81"/>
    <mergeCell ref="I50:I52"/>
    <mergeCell ref="J50:J52"/>
    <mergeCell ref="K50:K52"/>
    <mergeCell ref="A78:L78"/>
    <mergeCell ref="B54:B56"/>
    <mergeCell ref="B57:B59"/>
    <mergeCell ref="A54:A56"/>
    <mergeCell ref="A57:A59"/>
    <mergeCell ref="I79:I81"/>
    <mergeCell ref="J79:J81"/>
    <mergeCell ref="J75:J77"/>
    <mergeCell ref="C54:C56"/>
    <mergeCell ref="C57:C59"/>
    <mergeCell ref="I75:I77"/>
    <mergeCell ref="M50:M52"/>
    <mergeCell ref="I54:I56"/>
    <mergeCell ref="J54:J56"/>
    <mergeCell ref="K54:K56"/>
    <mergeCell ref="L54:L56"/>
    <mergeCell ref="M54:M56"/>
    <mergeCell ref="I112:I114"/>
    <mergeCell ref="J112:J114"/>
    <mergeCell ref="K112:K114"/>
    <mergeCell ref="L112:L114"/>
    <mergeCell ref="I109:I111"/>
    <mergeCell ref="J109:J111"/>
    <mergeCell ref="K109:K111"/>
    <mergeCell ref="L109:L111"/>
    <mergeCell ref="M75:M77"/>
    <mergeCell ref="M112:M114"/>
    <mergeCell ref="I115:I117"/>
    <mergeCell ref="J115:J117"/>
    <mergeCell ref="K115:K117"/>
    <mergeCell ref="L115:L117"/>
    <mergeCell ref="M115:M117"/>
    <mergeCell ref="I106:I108"/>
    <mergeCell ref="J106:J108"/>
    <mergeCell ref="K106:K108"/>
    <mergeCell ref="L124:L126"/>
    <mergeCell ref="J121:J123"/>
    <mergeCell ref="K121:K123"/>
    <mergeCell ref="J103:J105"/>
    <mergeCell ref="K103:K105"/>
    <mergeCell ref="L121:L123"/>
    <mergeCell ref="K118:K120"/>
    <mergeCell ref="L118:L120"/>
    <mergeCell ref="J118:J120"/>
    <mergeCell ref="L97:L99"/>
    <mergeCell ref="J100:J102"/>
    <mergeCell ref="K100:K102"/>
    <mergeCell ref="L100:L102"/>
    <mergeCell ref="J94:J96"/>
    <mergeCell ref="K94:K96"/>
    <mergeCell ref="M82:M84"/>
    <mergeCell ref="L106:L108"/>
    <mergeCell ref="M106:M108"/>
    <mergeCell ref="M109:M111"/>
    <mergeCell ref="L103:L105"/>
    <mergeCell ref="M103:M105"/>
    <mergeCell ref="L91:L93"/>
    <mergeCell ref="M97:M99"/>
    <mergeCell ref="M91:M93"/>
    <mergeCell ref="L94:L96"/>
    <mergeCell ref="M127:M129"/>
    <mergeCell ref="L130:L132"/>
    <mergeCell ref="M130:M132"/>
    <mergeCell ref="I133:I135"/>
    <mergeCell ref="J133:J135"/>
    <mergeCell ref="K133:K135"/>
    <mergeCell ref="L133:L135"/>
    <mergeCell ref="M133:M135"/>
    <mergeCell ref="J130:J132"/>
    <mergeCell ref="K130:K132"/>
    <mergeCell ref="M136:M138"/>
    <mergeCell ref="M118:M120"/>
    <mergeCell ref="I121:I123"/>
    <mergeCell ref="I136:I138"/>
    <mergeCell ref="J136:J138"/>
    <mergeCell ref="K136:K138"/>
    <mergeCell ref="L136:L138"/>
    <mergeCell ref="M121:M123"/>
    <mergeCell ref="L127:L129"/>
    <mergeCell ref="M124:M126"/>
    <mergeCell ref="M14:M16"/>
    <mergeCell ref="A14:A16"/>
    <mergeCell ref="B14:B16"/>
    <mergeCell ref="C14:C16"/>
    <mergeCell ref="I14:I16"/>
    <mergeCell ref="J14:J16"/>
    <mergeCell ref="K14:K16"/>
  </mergeCells>
  <phoneticPr fontId="10" type="noConversion"/>
  <pageMargins left="0.98425196850393704" right="0.59055118110236227" top="0.78740157480314965" bottom="0.78740157480314965" header="0.31496062992125984" footer="0.31496062992125984"/>
  <pageSetup paperSize="9" scale="62" fitToHeight="0" orientation="landscape" r:id="rId1"/>
  <headerFooter differentFirst="1">
    <oddHeader>&amp;C&amp;"Times New Roman,обычный"&amp;9&amp;P</oddHeader>
  </headerFooter>
  <rowBreaks count="2" manualBreakCount="2">
    <brk id="81" max="12" man="1"/>
    <brk id="11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outlinePr summaryBelow="0" summaryRight="0"/>
  </sheetPr>
  <dimension ref="A1:IT236"/>
  <sheetViews>
    <sheetView topLeftCell="B1" zoomScale="70" zoomScaleNormal="70" workbookViewId="0">
      <pane ySplit="7" topLeftCell="A56" activePane="bottomLeft" state="frozen"/>
      <selection pane="bottomLeft" activeCell="E97" sqref="E97"/>
    </sheetView>
  </sheetViews>
  <sheetFormatPr defaultRowHeight="15" outlineLevelCol="2" x14ac:dyDescent="0.25"/>
  <cols>
    <col min="1" max="1" width="4.140625" style="21" customWidth="1"/>
    <col min="2" max="2" width="41.28515625" style="21" customWidth="1"/>
    <col min="3" max="3" width="16" style="21" customWidth="1"/>
    <col min="4" max="4" width="46.85546875" style="21" customWidth="1"/>
    <col min="5" max="6" width="16.7109375" style="21" customWidth="1"/>
    <col min="7" max="7" width="20.140625" style="21" customWidth="1" outlineLevel="1"/>
    <col min="8" max="8" width="14.7109375" style="21" customWidth="1" outlineLevel="1"/>
    <col min="9" max="10" width="14.7109375" style="21" customWidth="1" outlineLevel="2"/>
    <col min="11" max="11" width="18.28515625" style="21" customWidth="1"/>
    <col min="12" max="12" width="11.7109375" style="21" bestFit="1" customWidth="1"/>
    <col min="13" max="13" width="13.85546875" style="21" bestFit="1" customWidth="1"/>
    <col min="14" max="254" width="9.140625" style="21" customWidth="1"/>
  </cols>
  <sheetData>
    <row r="1" spans="1:254" ht="15.75" x14ac:dyDescent="0.25">
      <c r="A1" s="101" t="s">
        <v>172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54" ht="3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54" ht="15" customHeight="1" x14ac:dyDescent="0.25">
      <c r="A3" s="102" t="s">
        <v>0</v>
      </c>
      <c r="B3" s="102" t="s">
        <v>46</v>
      </c>
      <c r="C3" s="102" t="s">
        <v>173</v>
      </c>
      <c r="D3" s="102" t="s">
        <v>174</v>
      </c>
      <c r="E3" s="102" t="s">
        <v>133</v>
      </c>
      <c r="F3" s="102"/>
      <c r="G3" s="102"/>
      <c r="H3" s="102"/>
      <c r="I3" s="102"/>
      <c r="J3" s="102"/>
      <c r="K3" s="102" t="s">
        <v>175</v>
      </c>
    </row>
    <row r="4" spans="1:254" ht="12.75" customHeight="1" x14ac:dyDescent="0.25">
      <c r="A4" s="102"/>
      <c r="B4" s="102"/>
      <c r="C4" s="102"/>
      <c r="D4" s="102"/>
      <c r="E4" s="102" t="s">
        <v>176</v>
      </c>
      <c r="F4" s="103" t="s">
        <v>134</v>
      </c>
      <c r="G4" s="103"/>
      <c r="H4" s="103"/>
      <c r="I4" s="103"/>
      <c r="J4" s="103"/>
      <c r="K4" s="102"/>
    </row>
    <row r="5" spans="1:254" ht="25.5" customHeight="1" x14ac:dyDescent="0.25">
      <c r="A5" s="102"/>
      <c r="B5" s="102"/>
      <c r="C5" s="102"/>
      <c r="D5" s="102"/>
      <c r="E5" s="102"/>
      <c r="F5" s="104" t="s">
        <v>177</v>
      </c>
      <c r="G5" s="103" t="s">
        <v>135</v>
      </c>
      <c r="H5" s="103" t="s">
        <v>178</v>
      </c>
      <c r="I5" s="103"/>
      <c r="J5" s="103"/>
      <c r="K5" s="10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51" customHeight="1" x14ac:dyDescent="0.25">
      <c r="A6" s="102"/>
      <c r="B6" s="102"/>
      <c r="C6" s="102"/>
      <c r="D6" s="102"/>
      <c r="E6" s="102"/>
      <c r="F6" s="104"/>
      <c r="G6" s="103"/>
      <c r="H6" s="32" t="s">
        <v>136</v>
      </c>
      <c r="I6" s="33" t="s">
        <v>137</v>
      </c>
      <c r="J6" s="33" t="s">
        <v>179</v>
      </c>
      <c r="K6" s="10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x14ac:dyDescent="0.25">
      <c r="A7" s="46">
        <v>1</v>
      </c>
      <c r="B7" s="46"/>
      <c r="C7" s="46">
        <v>2</v>
      </c>
      <c r="D7" s="46">
        <v>3</v>
      </c>
      <c r="E7" s="46">
        <v>5</v>
      </c>
      <c r="F7" s="47" t="s">
        <v>138</v>
      </c>
      <c r="G7" s="23">
        <v>7</v>
      </c>
      <c r="H7" s="23" t="s">
        <v>180</v>
      </c>
      <c r="I7" s="23">
        <v>9</v>
      </c>
      <c r="J7" s="23">
        <v>10</v>
      </c>
      <c r="K7" s="46" t="s">
        <v>181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48" customFormat="1" ht="12.75" x14ac:dyDescent="0.2">
      <c r="A8" s="105" t="s">
        <v>187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48" customFormat="1" ht="25.5" x14ac:dyDescent="0.2">
      <c r="A9" s="34"/>
      <c r="B9" s="50" t="s">
        <v>61</v>
      </c>
      <c r="C9" s="49" t="s">
        <v>193</v>
      </c>
      <c r="D9" s="24" t="s">
        <v>61</v>
      </c>
      <c r="E9" s="35">
        <v>800000</v>
      </c>
      <c r="F9" s="36">
        <f t="shared" ref="F9:F14" si="0">SUM(G9:H9)</f>
        <v>0</v>
      </c>
      <c r="G9" s="37"/>
      <c r="H9" s="37">
        <f t="shared" ref="H9:H14" si="1">SUM(I9:J9)</f>
        <v>0</v>
      </c>
      <c r="I9" s="38"/>
      <c r="J9" s="25"/>
      <c r="K9" s="26">
        <f t="shared" ref="K9:K14" si="2">SUM(E9:F9)</f>
        <v>800000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48" customFormat="1" ht="25.5" x14ac:dyDescent="0.2">
      <c r="A10" s="108"/>
      <c r="B10" s="111" t="s">
        <v>17</v>
      </c>
      <c r="C10" s="49" t="s">
        <v>192</v>
      </c>
      <c r="D10" s="24" t="s">
        <v>188</v>
      </c>
      <c r="E10" s="35">
        <v>285000</v>
      </c>
      <c r="F10" s="36">
        <f t="shared" si="0"/>
        <v>0</v>
      </c>
      <c r="G10" s="37"/>
      <c r="H10" s="37">
        <f t="shared" si="1"/>
        <v>0</v>
      </c>
      <c r="I10" s="38"/>
      <c r="J10" s="25"/>
      <c r="K10" s="26">
        <f t="shared" si="2"/>
        <v>285000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48" customFormat="1" ht="25.5" x14ac:dyDescent="0.2">
      <c r="A11" s="109"/>
      <c r="B11" s="112"/>
      <c r="C11" s="49" t="s">
        <v>169</v>
      </c>
      <c r="D11" s="24" t="s">
        <v>189</v>
      </c>
      <c r="E11" s="35">
        <v>315990</v>
      </c>
      <c r="F11" s="36">
        <f t="shared" si="0"/>
        <v>0</v>
      </c>
      <c r="G11" s="37"/>
      <c r="H11" s="37">
        <f t="shared" si="1"/>
        <v>0</v>
      </c>
      <c r="I11" s="38"/>
      <c r="J11" s="25"/>
      <c r="K11" s="26">
        <f t="shared" si="2"/>
        <v>315990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48" customFormat="1" ht="25.5" x14ac:dyDescent="0.2">
      <c r="A12" s="110"/>
      <c r="B12" s="113"/>
      <c r="C12" s="49" t="s">
        <v>194</v>
      </c>
      <c r="D12" s="24" t="s">
        <v>51</v>
      </c>
      <c r="E12" s="35">
        <v>200000</v>
      </c>
      <c r="F12" s="36">
        <f t="shared" si="0"/>
        <v>0</v>
      </c>
      <c r="G12" s="37"/>
      <c r="H12" s="37">
        <f t="shared" si="1"/>
        <v>0</v>
      </c>
      <c r="I12" s="38"/>
      <c r="J12" s="25"/>
      <c r="K12" s="26">
        <f t="shared" si="2"/>
        <v>200000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48" customFormat="1" ht="38.25" x14ac:dyDescent="0.2">
      <c r="A13" s="108"/>
      <c r="B13" s="111" t="s">
        <v>21</v>
      </c>
      <c r="C13" s="49" t="s">
        <v>156</v>
      </c>
      <c r="D13" s="24" t="s">
        <v>190</v>
      </c>
      <c r="E13" s="35">
        <v>60000</v>
      </c>
      <c r="F13" s="36">
        <f t="shared" si="0"/>
        <v>0</v>
      </c>
      <c r="G13" s="37"/>
      <c r="H13" s="37">
        <f t="shared" si="1"/>
        <v>0</v>
      </c>
      <c r="I13" s="38"/>
      <c r="J13" s="25"/>
      <c r="K13" s="26">
        <f t="shared" si="2"/>
        <v>60000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48" customFormat="1" ht="51" x14ac:dyDescent="0.2">
      <c r="A14" s="110"/>
      <c r="B14" s="113"/>
      <c r="C14" s="49" t="s">
        <v>158</v>
      </c>
      <c r="D14" s="24" t="s">
        <v>191</v>
      </c>
      <c r="E14" s="35">
        <v>240000</v>
      </c>
      <c r="F14" s="36">
        <f t="shared" si="0"/>
        <v>0</v>
      </c>
      <c r="G14" s="37"/>
      <c r="H14" s="37">
        <f t="shared" si="1"/>
        <v>0</v>
      </c>
      <c r="I14" s="38"/>
      <c r="J14" s="25"/>
      <c r="K14" s="26">
        <f t="shared" si="2"/>
        <v>240000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48" customFormat="1" ht="12.75" x14ac:dyDescent="0.2">
      <c r="A15" s="107" t="s">
        <v>195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26">
        <f>SUM(K9:K14)</f>
        <v>1900990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48" customFormat="1" ht="12.75" x14ac:dyDescent="0.2">
      <c r="A16" s="105" t="s">
        <v>64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48" customFormat="1" ht="25.5" x14ac:dyDescent="0.2">
      <c r="A17" s="108"/>
      <c r="B17" s="111" t="s">
        <v>25</v>
      </c>
      <c r="C17" s="49" t="s">
        <v>154</v>
      </c>
      <c r="D17" s="24" t="s">
        <v>197</v>
      </c>
      <c r="E17" s="35"/>
      <c r="F17" s="36">
        <f>SUM(G17:H17)</f>
        <v>1488448.79</v>
      </c>
      <c r="G17" s="37">
        <v>1488448.79</v>
      </c>
      <c r="H17" s="37">
        <f>SUM(I17:J17)</f>
        <v>0</v>
      </c>
      <c r="I17" s="38"/>
      <c r="J17" s="25"/>
      <c r="K17" s="26">
        <f>SUM(E17:F17)+1.21</f>
        <v>1488450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48" customFormat="1" ht="38.25" x14ac:dyDescent="0.2">
      <c r="A18" s="109"/>
      <c r="B18" s="112"/>
      <c r="C18" s="49" t="s">
        <v>142</v>
      </c>
      <c r="D18" s="24" t="s">
        <v>144</v>
      </c>
      <c r="E18" s="35"/>
      <c r="F18" s="36">
        <f>SUM(G18:H18)</f>
        <v>106200</v>
      </c>
      <c r="G18" s="37">
        <v>106200</v>
      </c>
      <c r="H18" s="37">
        <f>SUM(I18:J18)</f>
        <v>0</v>
      </c>
      <c r="I18" s="38"/>
      <c r="J18" s="25"/>
      <c r="K18" s="26">
        <f>SUM(E18:F18)</f>
        <v>106200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48" customFormat="1" ht="25.5" x14ac:dyDescent="0.2">
      <c r="A19" s="110"/>
      <c r="B19" s="113"/>
      <c r="C19" s="49" t="s">
        <v>145</v>
      </c>
      <c r="D19" s="24" t="s">
        <v>147</v>
      </c>
      <c r="E19" s="35"/>
      <c r="F19" s="36">
        <f>SUM(G19:H19)</f>
        <v>159153</v>
      </c>
      <c r="G19" s="37">
        <v>159153</v>
      </c>
      <c r="H19" s="37">
        <f>SUM(I19:J19)</f>
        <v>0</v>
      </c>
      <c r="I19" s="38"/>
      <c r="J19" s="25"/>
      <c r="K19" s="26">
        <f>SUM(E19:F19)+7</f>
        <v>159160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48" customFormat="1" ht="63.75" x14ac:dyDescent="0.2">
      <c r="A20" s="34"/>
      <c r="B20" s="50" t="s">
        <v>30</v>
      </c>
      <c r="C20" s="49" t="s">
        <v>139</v>
      </c>
      <c r="D20" s="24" t="s">
        <v>196</v>
      </c>
      <c r="E20" s="35">
        <v>308000</v>
      </c>
      <c r="F20" s="36">
        <f>SUM(G20:H20)</f>
        <v>0</v>
      </c>
      <c r="G20" s="37"/>
      <c r="H20" s="37">
        <f>SUM(I20:J20)</f>
        <v>0</v>
      </c>
      <c r="I20" s="38"/>
      <c r="J20" s="25"/>
      <c r="K20" s="26">
        <f>SUM(E20:F20)</f>
        <v>308000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48" customFormat="1" ht="12.75" x14ac:dyDescent="0.2">
      <c r="A21" s="107" t="s">
        <v>198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26">
        <f>SUM(K17:K20)</f>
        <v>2061810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48" customFormat="1" ht="12.75" x14ac:dyDescent="0.2">
      <c r="A22" s="105" t="s">
        <v>182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48" customFormat="1" ht="25.5" x14ac:dyDescent="0.2">
      <c r="A23" s="108"/>
      <c r="B23" s="111" t="s">
        <v>67</v>
      </c>
      <c r="C23" s="49" t="s">
        <v>139</v>
      </c>
      <c r="D23" s="24" t="s">
        <v>140</v>
      </c>
      <c r="E23" s="35"/>
      <c r="F23" s="36">
        <f t="shared" ref="F23:F44" si="3">SUM(G23:H23)</f>
        <v>111999</v>
      </c>
      <c r="G23" s="37"/>
      <c r="H23" s="37">
        <f>SUM(I23:J23)</f>
        <v>111999</v>
      </c>
      <c r="I23" s="38">
        <v>111999</v>
      </c>
      <c r="J23" s="25"/>
      <c r="K23" s="26">
        <f>SUM(E23:F23)+1</f>
        <v>112000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48" customFormat="1" ht="25.5" x14ac:dyDescent="0.2">
      <c r="A24" s="109"/>
      <c r="B24" s="112"/>
      <c r="C24" s="49" t="s">
        <v>141</v>
      </c>
      <c r="D24" s="24" t="s">
        <v>140</v>
      </c>
      <c r="E24" s="35"/>
      <c r="F24" s="36">
        <f t="shared" si="3"/>
        <v>376413</v>
      </c>
      <c r="G24" s="37"/>
      <c r="H24" s="37">
        <f t="shared" ref="H24:H69" si="4">SUM(I24:J24)</f>
        <v>376413</v>
      </c>
      <c r="I24" s="38">
        <v>376413</v>
      </c>
      <c r="J24" s="25"/>
      <c r="K24" s="26">
        <f t="shared" ref="K24:K69" si="5">SUM(E24:F24)</f>
        <v>376413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48" customFormat="1" ht="25.5" x14ac:dyDescent="0.2">
      <c r="A25" s="109"/>
      <c r="B25" s="112"/>
      <c r="C25" s="49" t="s">
        <v>150</v>
      </c>
      <c r="D25" s="24" t="s">
        <v>140</v>
      </c>
      <c r="E25" s="35"/>
      <c r="F25" s="36">
        <f t="shared" si="3"/>
        <v>317008</v>
      </c>
      <c r="G25" s="37"/>
      <c r="H25" s="37">
        <f t="shared" si="4"/>
        <v>317008</v>
      </c>
      <c r="I25" s="38">
        <v>317008</v>
      </c>
      <c r="J25" s="25"/>
      <c r="K25" s="26">
        <f t="shared" si="5"/>
        <v>317008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48" customFormat="1" ht="25.5" x14ac:dyDescent="0.2">
      <c r="A26" s="109"/>
      <c r="B26" s="112"/>
      <c r="C26" s="49" t="s">
        <v>156</v>
      </c>
      <c r="D26" s="24" t="s">
        <v>140</v>
      </c>
      <c r="E26" s="35"/>
      <c r="F26" s="36">
        <f t="shared" si="3"/>
        <v>249528</v>
      </c>
      <c r="G26" s="37"/>
      <c r="H26" s="37">
        <f t="shared" si="4"/>
        <v>249528</v>
      </c>
      <c r="I26" s="38">
        <v>249528</v>
      </c>
      <c r="J26" s="25"/>
      <c r="K26" s="26">
        <f t="shared" si="5"/>
        <v>249528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48" customFormat="1" ht="25.5" x14ac:dyDescent="0.2">
      <c r="A27" s="109"/>
      <c r="B27" s="112"/>
      <c r="C27" s="49" t="s">
        <v>164</v>
      </c>
      <c r="D27" s="24" t="s">
        <v>140</v>
      </c>
      <c r="E27" s="35"/>
      <c r="F27" s="36">
        <f t="shared" si="3"/>
        <v>78313</v>
      </c>
      <c r="G27" s="37"/>
      <c r="H27" s="37">
        <f t="shared" si="4"/>
        <v>78313</v>
      </c>
      <c r="I27" s="38">
        <v>78313</v>
      </c>
      <c r="J27" s="25"/>
      <c r="K27" s="26">
        <f t="shared" si="5"/>
        <v>78313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48" customFormat="1" ht="25.5" x14ac:dyDescent="0.2">
      <c r="A28" s="109"/>
      <c r="B28" s="112"/>
      <c r="C28" s="49" t="s">
        <v>164</v>
      </c>
      <c r="D28" s="24" t="s">
        <v>140</v>
      </c>
      <c r="E28" s="35"/>
      <c r="F28" s="36">
        <f t="shared" si="3"/>
        <v>25686</v>
      </c>
      <c r="G28" s="37"/>
      <c r="H28" s="37">
        <f t="shared" si="4"/>
        <v>25686</v>
      </c>
      <c r="I28" s="38">
        <v>25686</v>
      </c>
      <c r="J28" s="25"/>
      <c r="K28" s="26">
        <f t="shared" si="5"/>
        <v>25686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48" customFormat="1" ht="25.5" x14ac:dyDescent="0.2">
      <c r="A29" s="109"/>
      <c r="B29" s="112"/>
      <c r="C29" s="49" t="s">
        <v>167</v>
      </c>
      <c r="D29" s="24" t="s">
        <v>168</v>
      </c>
      <c r="E29" s="35"/>
      <c r="F29" s="36">
        <f t="shared" si="3"/>
        <v>160410.92000000001</v>
      </c>
      <c r="G29" s="37">
        <v>160410.92000000001</v>
      </c>
      <c r="H29" s="37">
        <f t="shared" si="4"/>
        <v>0</v>
      </c>
      <c r="I29" s="41"/>
      <c r="J29" s="43"/>
      <c r="K29" s="26">
        <f>SUM(E29:F29)</f>
        <v>160410.92000000001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48" customFormat="1" ht="25.5" x14ac:dyDescent="0.2">
      <c r="A30" s="109"/>
      <c r="B30" s="112"/>
      <c r="C30" s="49" t="s">
        <v>164</v>
      </c>
      <c r="D30" s="24" t="s">
        <v>166</v>
      </c>
      <c r="E30" s="35"/>
      <c r="F30" s="36">
        <f t="shared" si="3"/>
        <v>72780</v>
      </c>
      <c r="G30" s="37"/>
      <c r="H30" s="37">
        <f t="shared" si="4"/>
        <v>72780</v>
      </c>
      <c r="I30" s="38">
        <v>72780</v>
      </c>
      <c r="J30" s="25"/>
      <c r="K30" s="26">
        <f t="shared" si="5"/>
        <v>72780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48" customFormat="1" ht="12.75" x14ac:dyDescent="0.2">
      <c r="A31" s="109"/>
      <c r="B31" s="112"/>
      <c r="C31" s="49" t="s">
        <v>215</v>
      </c>
      <c r="D31" s="51" t="s">
        <v>211</v>
      </c>
      <c r="E31" s="35"/>
      <c r="F31" s="36">
        <f t="shared" si="3"/>
        <v>1024330</v>
      </c>
      <c r="G31" s="37">
        <v>1024330</v>
      </c>
      <c r="H31" s="37">
        <f t="shared" si="4"/>
        <v>0</v>
      </c>
      <c r="I31" s="38"/>
      <c r="J31" s="25"/>
      <c r="K31" s="26">
        <f t="shared" si="5"/>
        <v>1024330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48" customFormat="1" ht="25.5" x14ac:dyDescent="0.2">
      <c r="A32" s="110"/>
      <c r="B32" s="113"/>
      <c r="C32" s="49" t="s">
        <v>167</v>
      </c>
      <c r="D32" s="51" t="s">
        <v>209</v>
      </c>
      <c r="E32" s="35">
        <v>45630</v>
      </c>
      <c r="F32" s="36">
        <f t="shared" si="3"/>
        <v>0</v>
      </c>
      <c r="G32" s="37"/>
      <c r="H32" s="37">
        <f t="shared" si="4"/>
        <v>0</v>
      </c>
      <c r="I32" s="38"/>
      <c r="J32" s="25"/>
      <c r="K32" s="26">
        <f t="shared" si="5"/>
        <v>45630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48" customFormat="1" ht="25.5" x14ac:dyDescent="0.2">
      <c r="A33" s="34"/>
      <c r="B33" s="50" t="s">
        <v>68</v>
      </c>
      <c r="C33" s="49"/>
      <c r="D33" s="34" t="s">
        <v>186</v>
      </c>
      <c r="E33" s="35"/>
      <c r="F33" s="36">
        <f t="shared" si="3"/>
        <v>0</v>
      </c>
      <c r="G33" s="37"/>
      <c r="H33" s="37">
        <f t="shared" si="4"/>
        <v>0</v>
      </c>
      <c r="I33" s="38"/>
      <c r="J33" s="25"/>
      <c r="K33" s="26">
        <f t="shared" si="5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48" customFormat="1" ht="38.25" x14ac:dyDescent="0.2">
      <c r="A34" s="108"/>
      <c r="B34" s="111" t="s">
        <v>33</v>
      </c>
      <c r="C34" s="49" t="s">
        <v>158</v>
      </c>
      <c r="D34" s="24" t="s">
        <v>163</v>
      </c>
      <c r="E34" s="35"/>
      <c r="F34" s="36">
        <f t="shared" si="3"/>
        <v>98728</v>
      </c>
      <c r="G34" s="37"/>
      <c r="H34" s="37">
        <f t="shared" si="4"/>
        <v>98728</v>
      </c>
      <c r="I34" s="38">
        <v>98728</v>
      </c>
      <c r="J34" s="43"/>
      <c r="K34" s="26">
        <f t="shared" si="5"/>
        <v>98728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48" customFormat="1" ht="38.25" x14ac:dyDescent="0.2">
      <c r="A35" s="110"/>
      <c r="B35" s="113"/>
      <c r="C35" s="49" t="s">
        <v>158</v>
      </c>
      <c r="D35" s="51" t="s">
        <v>205</v>
      </c>
      <c r="E35" s="35">
        <v>303070</v>
      </c>
      <c r="F35" s="36">
        <f t="shared" si="3"/>
        <v>0</v>
      </c>
      <c r="G35" s="37"/>
      <c r="H35" s="37">
        <f t="shared" si="4"/>
        <v>0</v>
      </c>
      <c r="I35" s="38"/>
      <c r="J35" s="43"/>
      <c r="K35" s="26">
        <f t="shared" si="5"/>
        <v>303070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48" customFormat="1" ht="51" x14ac:dyDescent="0.2">
      <c r="A36" s="34"/>
      <c r="B36" s="50" t="s">
        <v>34</v>
      </c>
      <c r="C36" s="49" t="s">
        <v>158</v>
      </c>
      <c r="D36" s="24" t="s">
        <v>160</v>
      </c>
      <c r="E36" s="35"/>
      <c r="F36" s="36">
        <f t="shared" si="3"/>
        <v>144530</v>
      </c>
      <c r="G36" s="37"/>
      <c r="H36" s="37">
        <f t="shared" si="4"/>
        <v>144530</v>
      </c>
      <c r="I36" s="38">
        <v>144530</v>
      </c>
      <c r="J36" s="25"/>
      <c r="K36" s="26">
        <f t="shared" si="5"/>
        <v>144530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48" customFormat="1" ht="12.75" customHeight="1" x14ac:dyDescent="0.2">
      <c r="A37" s="108"/>
      <c r="B37" s="111" t="s">
        <v>35</v>
      </c>
      <c r="C37" s="49" t="s">
        <v>156</v>
      </c>
      <c r="D37" s="28" t="s">
        <v>157</v>
      </c>
      <c r="E37" s="39"/>
      <c r="F37" s="36">
        <f t="shared" si="3"/>
        <v>1430173</v>
      </c>
      <c r="G37" s="40">
        <v>1430173</v>
      </c>
      <c r="H37" s="37">
        <f t="shared" si="4"/>
        <v>0</v>
      </c>
      <c r="I37" s="41"/>
      <c r="J37" s="42"/>
      <c r="K37" s="26">
        <f>SUM(E37:F37)+4.83</f>
        <v>1430177.83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48" customFormat="1" ht="12.75" x14ac:dyDescent="0.2">
      <c r="A38" s="109"/>
      <c r="B38" s="112"/>
      <c r="C38" s="49" t="s">
        <v>142</v>
      </c>
      <c r="D38" s="24" t="s">
        <v>143</v>
      </c>
      <c r="E38" s="35"/>
      <c r="F38" s="36">
        <f t="shared" si="3"/>
        <v>240652.41</v>
      </c>
      <c r="G38" s="37">
        <v>240652.41</v>
      </c>
      <c r="H38" s="37">
        <f t="shared" si="4"/>
        <v>0</v>
      </c>
      <c r="I38" s="41"/>
      <c r="J38" s="25"/>
      <c r="K38" s="26">
        <f t="shared" si="5"/>
        <v>240652.41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48" customFormat="1" ht="51" x14ac:dyDescent="0.2">
      <c r="A39" s="109"/>
      <c r="B39" s="112"/>
      <c r="C39" s="49" t="s">
        <v>158</v>
      </c>
      <c r="D39" s="24" t="s">
        <v>161</v>
      </c>
      <c r="E39" s="35"/>
      <c r="F39" s="36">
        <f t="shared" si="3"/>
        <v>74966</v>
      </c>
      <c r="G39" s="37"/>
      <c r="H39" s="37">
        <f t="shared" si="4"/>
        <v>74966</v>
      </c>
      <c r="I39" s="38">
        <v>74966</v>
      </c>
      <c r="J39" s="25"/>
      <c r="K39" s="26">
        <f t="shared" si="5"/>
        <v>74966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48" customFormat="1" ht="51" x14ac:dyDescent="0.2">
      <c r="A40" s="109"/>
      <c r="B40" s="112"/>
      <c r="C40" s="49" t="s">
        <v>158</v>
      </c>
      <c r="D40" s="24" t="s">
        <v>162</v>
      </c>
      <c r="E40" s="35"/>
      <c r="F40" s="36">
        <f t="shared" si="3"/>
        <v>155942.07999999999</v>
      </c>
      <c r="G40" s="37">
        <v>155942.07999999999</v>
      </c>
      <c r="H40" s="37">
        <f t="shared" si="4"/>
        <v>0</v>
      </c>
      <c r="I40" s="41"/>
      <c r="J40" s="43"/>
      <c r="K40" s="26">
        <f t="shared" si="5"/>
        <v>155942.07999999999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48" customFormat="1" ht="38.25" x14ac:dyDescent="0.2">
      <c r="A41" s="109"/>
      <c r="B41" s="112"/>
      <c r="C41" s="49" t="s">
        <v>154</v>
      </c>
      <c r="D41" s="24" t="s">
        <v>155</v>
      </c>
      <c r="E41" s="35"/>
      <c r="F41" s="36">
        <f t="shared" si="3"/>
        <v>509585</v>
      </c>
      <c r="G41" s="37"/>
      <c r="H41" s="37">
        <f t="shared" si="4"/>
        <v>509585</v>
      </c>
      <c r="I41" s="38">
        <v>509585</v>
      </c>
      <c r="J41" s="25"/>
      <c r="K41" s="26">
        <f t="shared" si="5"/>
        <v>509585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48" customFormat="1" ht="38.25" x14ac:dyDescent="0.2">
      <c r="A42" s="109"/>
      <c r="B42" s="112"/>
      <c r="C42" s="49" t="s">
        <v>169</v>
      </c>
      <c r="D42" s="24" t="s">
        <v>170</v>
      </c>
      <c r="E42" s="35"/>
      <c r="F42" s="36">
        <f t="shared" si="3"/>
        <v>1029567.64</v>
      </c>
      <c r="G42" s="37">
        <v>1029567.64</v>
      </c>
      <c r="H42" s="37">
        <f t="shared" si="4"/>
        <v>0</v>
      </c>
      <c r="I42" s="38"/>
      <c r="J42" s="43"/>
      <c r="K42" s="26">
        <f t="shared" si="5"/>
        <v>1029567.64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48" customFormat="1" ht="38.25" x14ac:dyDescent="0.2">
      <c r="A43" s="109"/>
      <c r="B43" s="112"/>
      <c r="C43" s="49" t="s">
        <v>169</v>
      </c>
      <c r="D43" s="24" t="s">
        <v>171</v>
      </c>
      <c r="E43" s="35"/>
      <c r="F43" s="36">
        <f t="shared" si="3"/>
        <v>737196.36</v>
      </c>
      <c r="G43" s="37">
        <v>737196.36</v>
      </c>
      <c r="H43" s="37">
        <f t="shared" si="4"/>
        <v>0</v>
      </c>
      <c r="I43" s="38"/>
      <c r="J43" s="43"/>
      <c r="K43" s="26">
        <f t="shared" si="5"/>
        <v>737196.36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48" customFormat="1" ht="25.5" x14ac:dyDescent="0.2">
      <c r="A44" s="109"/>
      <c r="B44" s="112"/>
      <c r="C44" s="49" t="s">
        <v>210</v>
      </c>
      <c r="D44" s="51" t="s">
        <v>203</v>
      </c>
      <c r="E44" s="35">
        <v>102000</v>
      </c>
      <c r="F44" s="36">
        <f t="shared" si="3"/>
        <v>0</v>
      </c>
      <c r="G44" s="37"/>
      <c r="H44" s="37">
        <f t="shared" si="4"/>
        <v>0</v>
      </c>
      <c r="I44" s="38"/>
      <c r="J44" s="43"/>
      <c r="K44" s="26">
        <f t="shared" si="5"/>
        <v>102000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48" customFormat="1" ht="25.5" x14ac:dyDescent="0.2">
      <c r="A45" s="109"/>
      <c r="B45" s="112"/>
      <c r="C45" s="49" t="s">
        <v>167</v>
      </c>
      <c r="D45" s="51" t="s">
        <v>208</v>
      </c>
      <c r="E45" s="35">
        <v>48400</v>
      </c>
      <c r="F45" s="36">
        <f>SUM(G45:H45)</f>
        <v>0</v>
      </c>
      <c r="G45" s="37"/>
      <c r="H45" s="37">
        <f t="shared" si="4"/>
        <v>0</v>
      </c>
      <c r="I45" s="38"/>
      <c r="J45" s="43"/>
      <c r="K45" s="26">
        <f t="shared" si="5"/>
        <v>48400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48" customFormat="1" ht="38.25" x14ac:dyDescent="0.2">
      <c r="A46" s="109"/>
      <c r="B46" s="112"/>
      <c r="C46" s="49" t="s">
        <v>214</v>
      </c>
      <c r="D46" s="51" t="s">
        <v>212</v>
      </c>
      <c r="E46" s="35"/>
      <c r="F46" s="36">
        <f t="shared" ref="F46:F69" si="6">SUM(G46:H46)</f>
        <v>74590</v>
      </c>
      <c r="G46" s="38">
        <v>74590</v>
      </c>
      <c r="H46" s="37">
        <f t="shared" si="4"/>
        <v>0</v>
      </c>
      <c r="I46" s="38"/>
      <c r="J46" s="43"/>
      <c r="K46" s="26">
        <f t="shared" si="5"/>
        <v>74590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48" customFormat="1" ht="25.5" x14ac:dyDescent="0.2">
      <c r="A47" s="110"/>
      <c r="B47" s="113"/>
      <c r="C47" s="49" t="s">
        <v>167</v>
      </c>
      <c r="D47" s="51" t="s">
        <v>213</v>
      </c>
      <c r="E47" s="35"/>
      <c r="F47" s="36">
        <f t="shared" si="6"/>
        <v>132000</v>
      </c>
      <c r="G47" s="37"/>
      <c r="H47" s="37">
        <f t="shared" si="4"/>
        <v>132000</v>
      </c>
      <c r="I47" s="38">
        <v>132000</v>
      </c>
      <c r="J47" s="43"/>
      <c r="K47" s="26">
        <f t="shared" si="5"/>
        <v>132000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48" customFormat="1" ht="12.75" x14ac:dyDescent="0.2">
      <c r="A48" s="34"/>
      <c r="B48" s="50" t="s">
        <v>36</v>
      </c>
      <c r="C48" s="49"/>
      <c r="D48" s="34" t="s">
        <v>186</v>
      </c>
      <c r="E48" s="35"/>
      <c r="F48" s="36">
        <f t="shared" si="6"/>
        <v>0</v>
      </c>
      <c r="G48" s="37"/>
      <c r="H48" s="37">
        <f t="shared" si="4"/>
        <v>0</v>
      </c>
      <c r="I48" s="38"/>
      <c r="J48" s="25"/>
      <c r="K48" s="26">
        <f t="shared" si="5"/>
        <v>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48" customFormat="1" ht="25.5" customHeight="1" x14ac:dyDescent="0.2">
      <c r="A49" s="34"/>
      <c r="B49" s="111" t="s">
        <v>37</v>
      </c>
      <c r="C49" s="49" t="s">
        <v>151</v>
      </c>
      <c r="D49" s="28" t="s">
        <v>153</v>
      </c>
      <c r="E49" s="39"/>
      <c r="F49" s="36">
        <f t="shared" si="6"/>
        <v>93257</v>
      </c>
      <c r="G49" s="40"/>
      <c r="H49" s="37">
        <f t="shared" si="4"/>
        <v>93257</v>
      </c>
      <c r="I49" s="41">
        <v>93257</v>
      </c>
      <c r="J49" s="25"/>
      <c r="K49" s="26">
        <f t="shared" si="5"/>
        <v>93257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48" customFormat="1" ht="25.5" x14ac:dyDescent="0.2">
      <c r="A50" s="34"/>
      <c r="B50" s="113"/>
      <c r="C50" s="49" t="s">
        <v>145</v>
      </c>
      <c r="D50" s="52" t="s">
        <v>202</v>
      </c>
      <c r="E50" s="39">
        <v>28970</v>
      </c>
      <c r="F50" s="36">
        <f t="shared" si="6"/>
        <v>0</v>
      </c>
      <c r="G50" s="40"/>
      <c r="H50" s="37">
        <f t="shared" si="4"/>
        <v>0</v>
      </c>
      <c r="I50" s="41"/>
      <c r="J50" s="25"/>
      <c r="K50" s="26">
        <f t="shared" si="5"/>
        <v>28970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48" customFormat="1" ht="25.5" x14ac:dyDescent="0.2">
      <c r="A51" s="34"/>
      <c r="B51" s="50" t="s">
        <v>38</v>
      </c>
      <c r="C51" s="49"/>
      <c r="D51" s="34" t="s">
        <v>186</v>
      </c>
      <c r="E51" s="35"/>
      <c r="F51" s="36">
        <f t="shared" si="6"/>
        <v>0</v>
      </c>
      <c r="G51" s="37"/>
      <c r="H51" s="37">
        <f t="shared" si="4"/>
        <v>0</v>
      </c>
      <c r="I51" s="38"/>
      <c r="J51" s="25"/>
      <c r="K51" s="26">
        <f t="shared" si="5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48" customFormat="1" ht="25.5" x14ac:dyDescent="0.2">
      <c r="A52" s="34"/>
      <c r="B52" s="50" t="s">
        <v>69</v>
      </c>
      <c r="C52" s="49"/>
      <c r="D52" s="34" t="s">
        <v>186</v>
      </c>
      <c r="E52" s="35"/>
      <c r="F52" s="36">
        <f t="shared" si="6"/>
        <v>0</v>
      </c>
      <c r="G52" s="37"/>
      <c r="H52" s="37">
        <f t="shared" si="4"/>
        <v>0</v>
      </c>
      <c r="I52" s="38"/>
      <c r="J52" s="25"/>
      <c r="K52" s="26">
        <f t="shared" si="5"/>
        <v>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48" customFormat="1" ht="12.75" x14ac:dyDescent="0.2">
      <c r="A53" s="34"/>
      <c r="B53" s="50" t="s">
        <v>39</v>
      </c>
      <c r="C53" s="49"/>
      <c r="D53" s="34" t="s">
        <v>186</v>
      </c>
      <c r="E53" s="35"/>
      <c r="F53" s="36">
        <f t="shared" si="6"/>
        <v>0</v>
      </c>
      <c r="G53" s="37"/>
      <c r="H53" s="37">
        <f t="shared" si="4"/>
        <v>0</v>
      </c>
      <c r="I53" s="38"/>
      <c r="J53" s="25"/>
      <c r="K53" s="26">
        <f t="shared" si="5"/>
        <v>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48" customFormat="1" ht="25.5" x14ac:dyDescent="0.2">
      <c r="A54" s="34"/>
      <c r="B54" s="50" t="s">
        <v>40</v>
      </c>
      <c r="C54" s="49" t="s">
        <v>151</v>
      </c>
      <c r="D54" s="24" t="s">
        <v>152</v>
      </c>
      <c r="E54" s="35"/>
      <c r="F54" s="36">
        <f t="shared" si="6"/>
        <v>384902</v>
      </c>
      <c r="G54" s="37"/>
      <c r="H54" s="37">
        <f t="shared" si="4"/>
        <v>384902</v>
      </c>
      <c r="I54" s="38">
        <v>384902</v>
      </c>
      <c r="J54" s="25"/>
      <c r="K54" s="26">
        <f t="shared" si="5"/>
        <v>384902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48" customFormat="1" ht="12.75" x14ac:dyDescent="0.2">
      <c r="A55" s="34"/>
      <c r="B55" s="50" t="s">
        <v>126</v>
      </c>
      <c r="C55" s="49" t="s">
        <v>148</v>
      </c>
      <c r="D55" s="24" t="s">
        <v>149</v>
      </c>
      <c r="E55" s="35"/>
      <c r="F55" s="36">
        <f t="shared" si="6"/>
        <v>102665.4</v>
      </c>
      <c r="G55" s="37">
        <v>102665.4</v>
      </c>
      <c r="H55" s="37">
        <f t="shared" si="4"/>
        <v>0</v>
      </c>
      <c r="I55" s="38"/>
      <c r="J55" s="25"/>
      <c r="K55" s="26">
        <f t="shared" si="5"/>
        <v>102665.4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48" customFormat="1" ht="25.5" x14ac:dyDescent="0.2">
      <c r="A56" s="108"/>
      <c r="B56" s="111" t="s">
        <v>127</v>
      </c>
      <c r="C56" s="49" t="s">
        <v>158</v>
      </c>
      <c r="D56" s="24" t="s">
        <v>183</v>
      </c>
      <c r="E56" s="35">
        <v>67735</v>
      </c>
      <c r="F56" s="36">
        <f t="shared" si="6"/>
        <v>0</v>
      </c>
      <c r="G56" s="37"/>
      <c r="H56" s="37">
        <f t="shared" si="4"/>
        <v>0</v>
      </c>
      <c r="I56" s="41"/>
      <c r="J56" s="42"/>
      <c r="K56" s="26">
        <f t="shared" si="5"/>
        <v>67735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48" customFormat="1" ht="25.5" x14ac:dyDescent="0.2">
      <c r="A57" s="109"/>
      <c r="B57" s="112"/>
      <c r="C57" s="49" t="s">
        <v>158</v>
      </c>
      <c r="D57" s="24" t="s">
        <v>184</v>
      </c>
      <c r="E57" s="35">
        <v>125000</v>
      </c>
      <c r="F57" s="36">
        <f t="shared" si="6"/>
        <v>0</v>
      </c>
      <c r="G57" s="37"/>
      <c r="H57" s="37">
        <f t="shared" si="4"/>
        <v>0</v>
      </c>
      <c r="I57" s="41"/>
      <c r="J57" s="43"/>
      <c r="K57" s="26">
        <f t="shared" si="5"/>
        <v>125000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48" customFormat="1" ht="25.5" x14ac:dyDescent="0.2">
      <c r="A58" s="109"/>
      <c r="B58" s="112"/>
      <c r="C58" s="49" t="s">
        <v>167</v>
      </c>
      <c r="D58" s="24" t="s">
        <v>185</v>
      </c>
      <c r="E58" s="35">
        <v>97600</v>
      </c>
      <c r="F58" s="36">
        <f t="shared" si="6"/>
        <v>0</v>
      </c>
      <c r="G58" s="37"/>
      <c r="H58" s="37">
        <f t="shared" si="4"/>
        <v>0</v>
      </c>
      <c r="I58" s="41"/>
      <c r="J58" s="43"/>
      <c r="K58" s="26">
        <f t="shared" si="5"/>
        <v>97600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48" customFormat="1" ht="38.25" x14ac:dyDescent="0.2">
      <c r="A59" s="109"/>
      <c r="B59" s="112"/>
      <c r="C59" s="49" t="s">
        <v>167</v>
      </c>
      <c r="D59" s="51" t="s">
        <v>207</v>
      </c>
      <c r="E59" s="35">
        <v>219000</v>
      </c>
      <c r="F59" s="36">
        <f t="shared" si="6"/>
        <v>0</v>
      </c>
      <c r="G59" s="37"/>
      <c r="H59" s="37">
        <f t="shared" si="4"/>
        <v>0</v>
      </c>
      <c r="I59" s="41"/>
      <c r="J59" s="43"/>
      <c r="K59" s="26">
        <f t="shared" si="5"/>
        <v>219000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48" customFormat="1" ht="25.5" x14ac:dyDescent="0.2">
      <c r="A60" s="110"/>
      <c r="B60" s="113"/>
      <c r="C60" s="49" t="s">
        <v>158</v>
      </c>
      <c r="D60" s="51" t="s">
        <v>206</v>
      </c>
      <c r="E60" s="35">
        <v>409070</v>
      </c>
      <c r="F60" s="36">
        <f t="shared" si="6"/>
        <v>0</v>
      </c>
      <c r="G60" s="37"/>
      <c r="H60" s="37">
        <f t="shared" si="4"/>
        <v>0</v>
      </c>
      <c r="I60" s="41"/>
      <c r="J60" s="43"/>
      <c r="K60" s="26">
        <f t="shared" si="5"/>
        <v>409070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48" customFormat="1" ht="12.75" x14ac:dyDescent="0.2">
      <c r="A61" s="34"/>
      <c r="B61" s="50" t="s">
        <v>70</v>
      </c>
      <c r="C61" s="49"/>
      <c r="D61" s="34" t="s">
        <v>186</v>
      </c>
      <c r="E61" s="35"/>
      <c r="F61" s="36">
        <f t="shared" si="6"/>
        <v>0</v>
      </c>
      <c r="G61" s="37"/>
      <c r="H61" s="37">
        <f t="shared" si="4"/>
        <v>0</v>
      </c>
      <c r="I61" s="38"/>
      <c r="J61" s="25"/>
      <c r="K61" s="26">
        <f t="shared" si="5"/>
        <v>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48" customFormat="1" ht="12.75" x14ac:dyDescent="0.2">
      <c r="A62" s="34"/>
      <c r="B62" s="50" t="s">
        <v>41</v>
      </c>
      <c r="C62" s="49"/>
      <c r="D62" s="34" t="s">
        <v>186</v>
      </c>
      <c r="E62" s="35"/>
      <c r="F62" s="36">
        <f t="shared" si="6"/>
        <v>0</v>
      </c>
      <c r="G62" s="37"/>
      <c r="H62" s="37">
        <f t="shared" si="4"/>
        <v>0</v>
      </c>
      <c r="I62" s="38"/>
      <c r="J62" s="25"/>
      <c r="K62" s="26">
        <f t="shared" si="5"/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48" customFormat="1" ht="25.5" x14ac:dyDescent="0.2">
      <c r="A63" s="108"/>
      <c r="B63" s="111" t="s">
        <v>42</v>
      </c>
      <c r="C63" s="49" t="s">
        <v>145</v>
      </c>
      <c r="D63" s="24" t="s">
        <v>146</v>
      </c>
      <c r="E63" s="35"/>
      <c r="F63" s="36">
        <f t="shared" si="6"/>
        <v>0</v>
      </c>
      <c r="G63" s="37">
        <f>28973.12-28973.12</f>
        <v>0</v>
      </c>
      <c r="H63" s="37">
        <f t="shared" si="4"/>
        <v>0</v>
      </c>
      <c r="I63" s="41"/>
      <c r="J63" s="25"/>
      <c r="K63" s="26">
        <f t="shared" si="5"/>
        <v>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48" customFormat="1" ht="12.75" x14ac:dyDescent="0.2">
      <c r="A64" s="109"/>
      <c r="B64" s="112"/>
      <c r="C64" s="49" t="s">
        <v>158</v>
      </c>
      <c r="D64" s="24" t="s">
        <v>159</v>
      </c>
      <c r="E64" s="35"/>
      <c r="F64" s="36">
        <f t="shared" si="6"/>
        <v>385817</v>
      </c>
      <c r="G64" s="37">
        <v>385817</v>
      </c>
      <c r="H64" s="37">
        <f t="shared" si="4"/>
        <v>0</v>
      </c>
      <c r="I64" s="41"/>
      <c r="J64" s="25"/>
      <c r="K64" s="26">
        <f t="shared" si="5"/>
        <v>385817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48" customFormat="1" ht="25.5" x14ac:dyDescent="0.2">
      <c r="A65" s="109"/>
      <c r="B65" s="112"/>
      <c r="C65" s="49" t="s">
        <v>167</v>
      </c>
      <c r="D65" s="24" t="s">
        <v>146</v>
      </c>
      <c r="E65" s="35"/>
      <c r="F65" s="36">
        <f t="shared" si="6"/>
        <v>57946.239999999998</v>
      </c>
      <c r="G65" s="37">
        <v>57946.239999999998</v>
      </c>
      <c r="H65" s="37">
        <f t="shared" si="4"/>
        <v>0</v>
      </c>
      <c r="I65" s="41"/>
      <c r="J65" s="43"/>
      <c r="K65" s="26">
        <f>SUM(E65:F65)+8.12</f>
        <v>57954.36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48" customFormat="1" ht="12.75" x14ac:dyDescent="0.2">
      <c r="A66" s="109"/>
      <c r="B66" s="112"/>
      <c r="C66" s="49" t="s">
        <v>169</v>
      </c>
      <c r="D66" s="79" t="s">
        <v>233</v>
      </c>
      <c r="E66" s="35">
        <v>4598080</v>
      </c>
      <c r="F66" s="36">
        <f t="shared" si="6"/>
        <v>0</v>
      </c>
      <c r="G66" s="37"/>
      <c r="H66" s="37">
        <f t="shared" si="4"/>
        <v>0</v>
      </c>
      <c r="I66" s="41"/>
      <c r="J66" s="43"/>
      <c r="K66" s="26">
        <f>SUM(E66:F66)+8.12</f>
        <v>4598088.12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</row>
    <row r="67" spans="1:254" s="48" customFormat="1" ht="25.5" x14ac:dyDescent="0.2">
      <c r="A67" s="110"/>
      <c r="B67" s="113"/>
      <c r="C67" s="49" t="s">
        <v>164</v>
      </c>
      <c r="D67" s="24" t="s">
        <v>165</v>
      </c>
      <c r="E67" s="35"/>
      <c r="F67" s="36">
        <f t="shared" si="6"/>
        <v>40985</v>
      </c>
      <c r="G67" s="37"/>
      <c r="H67" s="37">
        <f t="shared" si="4"/>
        <v>40985</v>
      </c>
      <c r="I67" s="38">
        <v>40985</v>
      </c>
      <c r="J67" s="25"/>
      <c r="K67" s="26">
        <f t="shared" si="5"/>
        <v>40985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48" customFormat="1" ht="15" customHeight="1" x14ac:dyDescent="0.2">
      <c r="A68" s="108"/>
      <c r="B68" s="111" t="s">
        <v>43</v>
      </c>
      <c r="C68" s="49"/>
      <c r="D68" s="51" t="s">
        <v>204</v>
      </c>
      <c r="E68" s="35">
        <v>265390</v>
      </c>
      <c r="F68" s="36">
        <f t="shared" si="6"/>
        <v>0</v>
      </c>
      <c r="G68" s="37"/>
      <c r="H68" s="37">
        <f t="shared" si="4"/>
        <v>0</v>
      </c>
      <c r="I68" s="38"/>
      <c r="J68" s="25"/>
      <c r="K68" s="26">
        <f t="shared" si="5"/>
        <v>265390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48" customFormat="1" ht="12.75" x14ac:dyDescent="0.2">
      <c r="A69" s="110"/>
      <c r="B69" s="113"/>
      <c r="C69" s="49"/>
      <c r="D69" s="51" t="s">
        <v>201</v>
      </c>
      <c r="E69" s="35">
        <v>646270</v>
      </c>
      <c r="F69" s="36">
        <f t="shared" si="6"/>
        <v>0</v>
      </c>
      <c r="G69" s="37"/>
      <c r="H69" s="37">
        <f t="shared" si="4"/>
        <v>0</v>
      </c>
      <c r="I69" s="38"/>
      <c r="J69" s="25"/>
      <c r="K69" s="26">
        <f t="shared" si="5"/>
        <v>646270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48" customFormat="1" ht="12.75" x14ac:dyDescent="0.2">
      <c r="A70" s="107" t="s">
        <v>199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26">
        <f>SUM(K23:K69)</f>
        <v>15066208.120000001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48" customFormat="1" ht="12.75" x14ac:dyDescent="0.2">
      <c r="A71" s="107" t="s">
        <v>200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26">
        <f>K15+K21+K70</f>
        <v>19029008.120000001</v>
      </c>
      <c r="L71" s="54">
        <f>K71-'(01.01.2016'!K59</f>
        <v>7867838.120000001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x14ac:dyDescent="0.25">
      <c r="D72" s="29"/>
      <c r="E72" s="30"/>
      <c r="F72" s="30"/>
      <c r="G72" s="30"/>
      <c r="H72" s="30"/>
      <c r="K72" s="53">
        <f>14430920+4598080</f>
        <v>19029000</v>
      </c>
    </row>
    <row r="73" spans="1:254" s="21" customFormat="1" ht="12.75" x14ac:dyDescent="0.25">
      <c r="E73" s="30"/>
      <c r="F73" s="30"/>
      <c r="G73" s="30"/>
      <c r="H73" s="30"/>
      <c r="K73" s="53">
        <f>K71-K72</f>
        <v>8.1200000010430813</v>
      </c>
    </row>
    <row r="74" spans="1:254" s="21" customFormat="1" ht="12.75" x14ac:dyDescent="0.25">
      <c r="E74" s="30"/>
      <c r="F74" s="30"/>
      <c r="G74" s="30"/>
      <c r="H74" s="30"/>
    </row>
    <row r="75" spans="1:254" s="21" customFormat="1" ht="12.75" customHeight="1" x14ac:dyDescent="0.25">
      <c r="E75" s="30"/>
      <c r="F75" s="30"/>
      <c r="G75" s="30"/>
      <c r="H75" s="106" t="s">
        <v>67</v>
      </c>
      <c r="I75" s="106"/>
      <c r="J75" s="106"/>
      <c r="K75" s="55">
        <f>SUM(K23:K32)</f>
        <v>2462098.92</v>
      </c>
      <c r="L75" s="45">
        <f>'(01.03.2016'!K75-'(01.01.2016'!K63</f>
        <v>1069960</v>
      </c>
    </row>
    <row r="76" spans="1:254" s="21" customFormat="1" ht="12.75" customHeight="1" x14ac:dyDescent="0.25">
      <c r="E76" s="30"/>
      <c r="F76" s="30"/>
      <c r="G76" s="30"/>
      <c r="H76" s="106" t="s">
        <v>68</v>
      </c>
      <c r="I76" s="106"/>
      <c r="J76" s="106"/>
      <c r="K76" s="55">
        <f>SUM(K33)</f>
        <v>0</v>
      </c>
      <c r="L76" s="45">
        <f>'(01.03.2016'!K76-'(01.01.2016'!K64</f>
        <v>0</v>
      </c>
    </row>
    <row r="77" spans="1:254" s="21" customFormat="1" ht="12.75" customHeight="1" x14ac:dyDescent="0.25">
      <c r="E77" s="30"/>
      <c r="F77" s="30"/>
      <c r="G77" s="30"/>
      <c r="H77" s="106" t="s">
        <v>33</v>
      </c>
      <c r="I77" s="106"/>
      <c r="J77" s="106"/>
      <c r="K77" s="55">
        <f>SUM(K34:K35)</f>
        <v>401798</v>
      </c>
      <c r="L77" s="45">
        <f>'(01.03.2016'!K77-'(01.01.2016'!K65</f>
        <v>303070</v>
      </c>
    </row>
    <row r="78" spans="1:254" s="21" customFormat="1" ht="12.75" customHeight="1" x14ac:dyDescent="0.25">
      <c r="E78" s="30"/>
      <c r="F78" s="30"/>
      <c r="G78" s="30"/>
      <c r="H78" s="106" t="s">
        <v>34</v>
      </c>
      <c r="I78" s="106"/>
      <c r="J78" s="106"/>
      <c r="K78" s="55">
        <f>SUM(K36)</f>
        <v>144530</v>
      </c>
      <c r="L78" s="45">
        <f>'(01.03.2016'!K78-'(01.01.2016'!K66</f>
        <v>0</v>
      </c>
    </row>
    <row r="79" spans="1:254" s="21" customFormat="1" ht="12.75" customHeight="1" x14ac:dyDescent="0.25">
      <c r="E79" s="30"/>
      <c r="F79" s="30"/>
      <c r="G79" s="30"/>
      <c r="H79" s="106" t="s">
        <v>35</v>
      </c>
      <c r="I79" s="106"/>
      <c r="J79" s="106"/>
      <c r="K79" s="55">
        <f>SUM(K37:K47)</f>
        <v>4535077.32</v>
      </c>
      <c r="L79" s="45">
        <f>'(01.03.2016'!K79-'(01.01.2016'!K67</f>
        <v>356990</v>
      </c>
    </row>
    <row r="80" spans="1:254" s="21" customFormat="1" ht="12.75" customHeight="1" x14ac:dyDescent="0.25">
      <c r="E80" s="30"/>
      <c r="F80" s="30"/>
      <c r="G80" s="30"/>
      <c r="H80" s="106" t="s">
        <v>36</v>
      </c>
      <c r="I80" s="106"/>
      <c r="J80" s="106"/>
      <c r="K80" s="55"/>
      <c r="L80" s="45">
        <f>'(01.03.2016'!K80-'(01.01.2016'!K68</f>
        <v>0</v>
      </c>
    </row>
    <row r="81" spans="5:12" s="21" customFormat="1" ht="12.75" customHeight="1" x14ac:dyDescent="0.25">
      <c r="E81" s="30"/>
      <c r="F81" s="30"/>
      <c r="G81" s="30"/>
      <c r="H81" s="106" t="s">
        <v>37</v>
      </c>
      <c r="I81" s="106"/>
      <c r="J81" s="106"/>
      <c r="K81" s="55">
        <f>SUM(K49:K50)</f>
        <v>122227</v>
      </c>
      <c r="L81" s="45">
        <f>'(01.03.2016'!K81-'(01.01.2016'!K69</f>
        <v>28970</v>
      </c>
    </row>
    <row r="82" spans="5:12" s="21" customFormat="1" ht="12.75" customHeight="1" x14ac:dyDescent="0.25">
      <c r="E82" s="30"/>
      <c r="F82" s="30"/>
      <c r="G82" s="30"/>
      <c r="H82" s="106" t="s">
        <v>38</v>
      </c>
      <c r="I82" s="106"/>
      <c r="J82" s="106"/>
      <c r="K82" s="55">
        <f>SUM(K51)</f>
        <v>0</v>
      </c>
      <c r="L82" s="45">
        <f>'(01.03.2016'!K82-'(01.01.2016'!K70</f>
        <v>0</v>
      </c>
    </row>
    <row r="83" spans="5:12" s="21" customFormat="1" ht="12.75" customHeight="1" x14ac:dyDescent="0.25">
      <c r="E83" s="30"/>
      <c r="F83" s="30"/>
      <c r="G83" s="30"/>
      <c r="H83" s="106" t="s">
        <v>69</v>
      </c>
      <c r="I83" s="106"/>
      <c r="J83" s="106"/>
      <c r="K83" s="55">
        <f>SUM(K52)</f>
        <v>0</v>
      </c>
      <c r="L83" s="45">
        <f>'(01.03.2016'!K83-'(01.01.2016'!K71</f>
        <v>0</v>
      </c>
    </row>
    <row r="84" spans="5:12" s="21" customFormat="1" ht="12.75" x14ac:dyDescent="0.25">
      <c r="E84" s="30"/>
      <c r="F84" s="30"/>
      <c r="G84" s="30"/>
      <c r="H84" s="106" t="s">
        <v>39</v>
      </c>
      <c r="I84" s="106"/>
      <c r="J84" s="106"/>
      <c r="K84" s="55">
        <f>SUM(K53)</f>
        <v>0</v>
      </c>
      <c r="L84" s="45">
        <f>'(01.03.2016'!K84-'(01.01.2016'!K72</f>
        <v>0</v>
      </c>
    </row>
    <row r="85" spans="5:12" s="21" customFormat="1" ht="12.75" customHeight="1" x14ac:dyDescent="0.25">
      <c r="E85" s="30"/>
      <c r="F85" s="30"/>
      <c r="G85" s="30"/>
      <c r="H85" s="106" t="s">
        <v>40</v>
      </c>
      <c r="I85" s="106"/>
      <c r="J85" s="106"/>
      <c r="K85" s="55">
        <f>SUM(K54)</f>
        <v>384902</v>
      </c>
      <c r="L85" s="45">
        <f>'(01.03.2016'!K85-'(01.01.2016'!K73</f>
        <v>0</v>
      </c>
    </row>
    <row r="86" spans="5:12" s="21" customFormat="1" ht="12.75" customHeight="1" x14ac:dyDescent="0.25">
      <c r="E86" s="30"/>
      <c r="F86" s="30"/>
      <c r="G86" s="30"/>
      <c r="H86" s="106" t="s">
        <v>126</v>
      </c>
      <c r="I86" s="106"/>
      <c r="J86" s="106"/>
      <c r="K86" s="55">
        <f>SUM(K55)</f>
        <v>102665.4</v>
      </c>
      <c r="L86" s="45">
        <f>'(01.03.2016'!K86-'(01.01.2016'!K74</f>
        <v>0</v>
      </c>
    </row>
    <row r="87" spans="5:12" s="21" customFormat="1" ht="12.75" customHeight="1" x14ac:dyDescent="0.25">
      <c r="E87" s="30"/>
      <c r="F87" s="30"/>
      <c r="G87" s="30"/>
      <c r="H87" s="106" t="s">
        <v>127</v>
      </c>
      <c r="I87" s="106"/>
      <c r="J87" s="106"/>
      <c r="K87" s="55">
        <f>SUM(K56:K60)</f>
        <v>918405</v>
      </c>
      <c r="L87" s="45">
        <f>'(01.03.2016'!K87-'(01.01.2016'!K75</f>
        <v>628065</v>
      </c>
    </row>
    <row r="88" spans="5:12" s="21" customFormat="1" ht="12.75" customHeight="1" x14ac:dyDescent="0.25">
      <c r="E88" s="30"/>
      <c r="F88" s="30"/>
      <c r="G88" s="30"/>
      <c r="H88" s="106" t="s">
        <v>70</v>
      </c>
      <c r="I88" s="106"/>
      <c r="J88" s="106"/>
      <c r="K88" s="55">
        <f>SUM(K61)</f>
        <v>0</v>
      </c>
      <c r="L88" s="45">
        <f>'(01.03.2016'!K88-'(01.01.2016'!K76</f>
        <v>0</v>
      </c>
    </row>
    <row r="89" spans="5:12" s="21" customFormat="1" ht="12.75" customHeight="1" x14ac:dyDescent="0.25">
      <c r="E89" s="30"/>
      <c r="F89" s="30"/>
      <c r="G89" s="30"/>
      <c r="H89" s="106" t="s">
        <v>41</v>
      </c>
      <c r="I89" s="106"/>
      <c r="J89" s="106"/>
      <c r="K89" s="55">
        <f>SUM(K62)</f>
        <v>0</v>
      </c>
      <c r="L89" s="45">
        <f>'(01.03.2016'!K89-'(01.01.2016'!K77</f>
        <v>0</v>
      </c>
    </row>
    <row r="90" spans="5:12" s="21" customFormat="1" ht="12.75" customHeight="1" x14ac:dyDescent="0.25">
      <c r="E90" s="30"/>
      <c r="F90" s="30"/>
      <c r="G90" s="30"/>
      <c r="H90" s="106" t="s">
        <v>42</v>
      </c>
      <c r="I90" s="106"/>
      <c r="J90" s="106"/>
      <c r="K90" s="55">
        <f>SUM(K63:K67)</f>
        <v>5082844.4800000004</v>
      </c>
      <c r="L90" s="45">
        <f>'(01.03.2016'!K90-'(01.01.2016'!K78</f>
        <v>4569123.12</v>
      </c>
    </row>
    <row r="91" spans="5:12" s="21" customFormat="1" ht="12.75" customHeight="1" x14ac:dyDescent="0.25">
      <c r="E91" s="30"/>
      <c r="F91" s="30"/>
      <c r="G91" s="30"/>
      <c r="H91" s="106" t="s">
        <v>43</v>
      </c>
      <c r="I91" s="106"/>
      <c r="J91" s="106"/>
      <c r="K91" s="55">
        <f>SUM(K68:K69)</f>
        <v>911660</v>
      </c>
      <c r="L91" s="45">
        <f>'(01.03.2016'!K91-'(01.01.2016'!K79</f>
        <v>911660</v>
      </c>
    </row>
    <row r="92" spans="5:12" s="21" customFormat="1" ht="15" customHeight="1" x14ac:dyDescent="0.25">
      <c r="E92" s="30"/>
      <c r="F92" s="30"/>
      <c r="G92" s="30"/>
      <c r="H92" s="30"/>
      <c r="K92" s="44">
        <f>SUM(K75:K91)</f>
        <v>15066208.120000001</v>
      </c>
    </row>
    <row r="93" spans="5:12" s="21" customFormat="1" ht="15" customHeight="1" x14ac:dyDescent="0.25">
      <c r="E93" s="30"/>
      <c r="F93" s="30"/>
      <c r="G93" s="30"/>
      <c r="H93" s="30"/>
      <c r="K93" s="44">
        <f>K92-K70</f>
        <v>0</v>
      </c>
    </row>
    <row r="94" spans="5:12" s="21" customFormat="1" ht="12.75" x14ac:dyDescent="0.25">
      <c r="E94" s="30"/>
      <c r="F94" s="30"/>
      <c r="G94" s="30"/>
      <c r="H94" s="30"/>
    </row>
    <row r="95" spans="5:12" s="21" customFormat="1" ht="12.75" x14ac:dyDescent="0.25">
      <c r="E95" s="30"/>
      <c r="F95" s="30"/>
      <c r="G95" s="30"/>
      <c r="H95" s="30"/>
    </row>
    <row r="96" spans="5:12" s="21" customFormat="1" ht="12.75" x14ac:dyDescent="0.25">
      <c r="E96" s="30"/>
      <c r="F96" s="30"/>
      <c r="G96" s="30"/>
      <c r="H96" s="30"/>
    </row>
    <row r="97" spans="5:8" s="21" customFormat="1" ht="12.75" x14ac:dyDescent="0.25">
      <c r="E97" s="30"/>
      <c r="F97" s="30"/>
      <c r="G97" s="30"/>
      <c r="H97" s="30"/>
    </row>
    <row r="98" spans="5:8" s="21" customFormat="1" ht="12.75" x14ac:dyDescent="0.25">
      <c r="E98" s="30"/>
      <c r="F98" s="30"/>
      <c r="G98" s="30"/>
      <c r="H98" s="30"/>
    </row>
    <row r="99" spans="5:8" s="21" customFormat="1" ht="12.75" x14ac:dyDescent="0.25">
      <c r="E99" s="30"/>
      <c r="F99" s="30"/>
      <c r="G99" s="30"/>
      <c r="H99" s="30"/>
    </row>
    <row r="100" spans="5:8" s="21" customFormat="1" ht="12.75" x14ac:dyDescent="0.25">
      <c r="E100" s="30"/>
      <c r="F100" s="30"/>
      <c r="G100" s="30"/>
      <c r="H100" s="30"/>
    </row>
    <row r="101" spans="5:8" s="21" customFormat="1" ht="12.75" x14ac:dyDescent="0.25">
      <c r="E101" s="30"/>
      <c r="F101" s="30"/>
      <c r="G101" s="30"/>
      <c r="H101" s="30"/>
    </row>
    <row r="102" spans="5:8" s="21" customFormat="1" ht="12.75" x14ac:dyDescent="0.25">
      <c r="E102" s="30"/>
      <c r="F102" s="30"/>
      <c r="G102" s="30"/>
      <c r="H102" s="30"/>
    </row>
    <row r="103" spans="5:8" s="21" customFormat="1" ht="12.75" x14ac:dyDescent="0.25">
      <c r="E103" s="30"/>
      <c r="F103" s="30"/>
      <c r="G103" s="30"/>
      <c r="H103" s="30"/>
    </row>
    <row r="104" spans="5:8" s="21" customFormat="1" ht="12.75" x14ac:dyDescent="0.25">
      <c r="E104" s="30"/>
      <c r="F104" s="30"/>
      <c r="G104" s="30"/>
      <c r="H104" s="30"/>
    </row>
    <row r="105" spans="5:8" s="21" customFormat="1" ht="12.75" x14ac:dyDescent="0.25">
      <c r="E105" s="30"/>
      <c r="F105" s="30"/>
      <c r="G105" s="30"/>
      <c r="H105" s="30"/>
    </row>
    <row r="106" spans="5:8" s="21" customFormat="1" ht="12.75" x14ac:dyDescent="0.25">
      <c r="E106" s="30"/>
      <c r="F106" s="30"/>
      <c r="G106" s="30"/>
      <c r="H106" s="30"/>
    </row>
    <row r="107" spans="5:8" s="21" customFormat="1" ht="12.75" x14ac:dyDescent="0.25">
      <c r="E107" s="30"/>
      <c r="F107" s="30"/>
      <c r="G107" s="30"/>
      <c r="H107" s="30"/>
    </row>
    <row r="108" spans="5:8" s="21" customFormat="1" ht="12.75" x14ac:dyDescent="0.25">
      <c r="E108" s="30"/>
      <c r="F108" s="30"/>
      <c r="G108" s="30"/>
      <c r="H108" s="30"/>
    </row>
    <row r="109" spans="5:8" s="21" customFormat="1" ht="12.75" x14ac:dyDescent="0.25">
      <c r="E109" s="30"/>
      <c r="F109" s="30"/>
      <c r="G109" s="30"/>
      <c r="H109" s="30"/>
    </row>
    <row r="110" spans="5:8" s="21" customFormat="1" ht="12.75" x14ac:dyDescent="0.25">
      <c r="E110" s="30"/>
      <c r="F110" s="30"/>
      <c r="G110" s="30"/>
      <c r="H110" s="30"/>
    </row>
    <row r="111" spans="5:8" s="21" customFormat="1" ht="12.75" x14ac:dyDescent="0.25">
      <c r="E111" s="30"/>
      <c r="F111" s="30"/>
      <c r="G111" s="30"/>
      <c r="H111" s="30"/>
    </row>
    <row r="112" spans="5:8" s="21" customFormat="1" ht="12.75" x14ac:dyDescent="0.25">
      <c r="E112" s="30"/>
      <c r="F112" s="30"/>
      <c r="G112" s="30"/>
      <c r="H112" s="30"/>
    </row>
    <row r="113" spans="5:8" s="21" customFormat="1" ht="12.75" x14ac:dyDescent="0.25">
      <c r="E113" s="30"/>
      <c r="F113" s="30"/>
      <c r="G113" s="30"/>
      <c r="H113" s="30"/>
    </row>
    <row r="114" spans="5:8" s="21" customFormat="1" ht="12.75" x14ac:dyDescent="0.25">
      <c r="E114" s="30"/>
      <c r="F114" s="30"/>
      <c r="G114" s="30"/>
      <c r="H114" s="30"/>
    </row>
    <row r="115" spans="5:8" s="21" customFormat="1" ht="12.75" x14ac:dyDescent="0.25">
      <c r="E115" s="30"/>
      <c r="F115" s="30"/>
      <c r="G115" s="30"/>
      <c r="H115" s="30"/>
    </row>
    <row r="116" spans="5:8" s="21" customFormat="1" ht="12.75" x14ac:dyDescent="0.25">
      <c r="E116" s="30"/>
      <c r="F116" s="30"/>
      <c r="G116" s="30"/>
      <c r="H116" s="30"/>
    </row>
    <row r="117" spans="5:8" s="21" customFormat="1" ht="12.75" x14ac:dyDescent="0.25">
      <c r="E117" s="30"/>
      <c r="F117" s="30"/>
      <c r="G117" s="30"/>
      <c r="H117" s="30"/>
    </row>
    <row r="118" spans="5:8" s="21" customFormat="1" ht="12.75" x14ac:dyDescent="0.25">
      <c r="E118" s="30"/>
      <c r="F118" s="30"/>
      <c r="G118" s="30"/>
      <c r="H118" s="30"/>
    </row>
    <row r="119" spans="5:8" s="21" customFormat="1" ht="12.75" x14ac:dyDescent="0.25">
      <c r="E119" s="30"/>
      <c r="F119" s="30"/>
      <c r="G119" s="30"/>
      <c r="H119" s="30"/>
    </row>
    <row r="120" spans="5:8" s="21" customFormat="1" ht="12.75" x14ac:dyDescent="0.25">
      <c r="E120" s="30"/>
      <c r="F120" s="30"/>
      <c r="G120" s="30"/>
      <c r="H120" s="30"/>
    </row>
    <row r="121" spans="5:8" s="21" customFormat="1" ht="12.75" x14ac:dyDescent="0.25">
      <c r="E121" s="30"/>
      <c r="F121" s="30"/>
      <c r="G121" s="30"/>
      <c r="H121" s="30"/>
    </row>
    <row r="122" spans="5:8" s="21" customFormat="1" ht="12.75" x14ac:dyDescent="0.25">
      <c r="E122" s="30"/>
      <c r="F122" s="30"/>
      <c r="G122" s="30"/>
      <c r="H122" s="30"/>
    </row>
    <row r="123" spans="5:8" s="21" customFormat="1" ht="12.75" x14ac:dyDescent="0.25">
      <c r="E123" s="30"/>
      <c r="F123" s="30"/>
      <c r="G123" s="30"/>
      <c r="H123" s="30"/>
    </row>
    <row r="124" spans="5:8" s="21" customFormat="1" ht="12.75" x14ac:dyDescent="0.25">
      <c r="E124" s="30"/>
      <c r="F124" s="30"/>
      <c r="G124" s="30"/>
      <c r="H124" s="30"/>
    </row>
    <row r="125" spans="5:8" s="21" customFormat="1" ht="12.75" x14ac:dyDescent="0.25">
      <c r="E125" s="30"/>
      <c r="F125" s="30"/>
      <c r="G125" s="30"/>
      <c r="H125" s="30"/>
    </row>
    <row r="126" spans="5:8" s="21" customFormat="1" ht="12.75" x14ac:dyDescent="0.25">
      <c r="E126" s="30"/>
      <c r="F126" s="30"/>
      <c r="G126" s="30"/>
      <c r="H126" s="30"/>
    </row>
    <row r="127" spans="5:8" s="21" customFormat="1" ht="12.75" x14ac:dyDescent="0.25">
      <c r="E127" s="30"/>
      <c r="F127" s="30"/>
      <c r="G127" s="30"/>
      <c r="H127" s="30"/>
    </row>
    <row r="128" spans="5:8" s="21" customFormat="1" ht="12.75" x14ac:dyDescent="0.25">
      <c r="E128" s="30"/>
      <c r="F128" s="30"/>
      <c r="G128" s="30"/>
      <c r="H128" s="30"/>
    </row>
    <row r="129" spans="5:8" s="21" customFormat="1" ht="12.75" x14ac:dyDescent="0.25">
      <c r="E129" s="30"/>
      <c r="F129" s="30"/>
      <c r="G129" s="30"/>
      <c r="H129" s="30"/>
    </row>
    <row r="130" spans="5:8" s="21" customFormat="1" ht="12.75" x14ac:dyDescent="0.25">
      <c r="E130" s="30"/>
      <c r="F130" s="30"/>
      <c r="G130" s="30"/>
      <c r="H130" s="30"/>
    </row>
    <row r="131" spans="5:8" s="21" customFormat="1" ht="12.75" x14ac:dyDescent="0.25">
      <c r="E131" s="30"/>
      <c r="F131" s="30"/>
      <c r="G131" s="30"/>
      <c r="H131" s="30"/>
    </row>
    <row r="132" spans="5:8" s="21" customFormat="1" ht="12.75" x14ac:dyDescent="0.25">
      <c r="E132" s="30"/>
      <c r="F132" s="30"/>
      <c r="G132" s="30"/>
      <c r="H132" s="30"/>
    </row>
    <row r="133" spans="5:8" s="21" customFormat="1" ht="12.75" x14ac:dyDescent="0.25">
      <c r="E133" s="30"/>
      <c r="F133" s="30"/>
      <c r="G133" s="30"/>
      <c r="H133" s="30"/>
    </row>
    <row r="134" spans="5:8" s="21" customFormat="1" ht="12.75" x14ac:dyDescent="0.25">
      <c r="E134" s="30"/>
      <c r="F134" s="30"/>
      <c r="G134" s="30"/>
      <c r="H134" s="30"/>
    </row>
    <row r="135" spans="5:8" s="21" customFormat="1" ht="12.75" x14ac:dyDescent="0.25">
      <c r="E135" s="30"/>
      <c r="F135" s="30"/>
      <c r="G135" s="30"/>
      <c r="H135" s="30"/>
    </row>
    <row r="136" spans="5:8" s="21" customFormat="1" ht="12.75" x14ac:dyDescent="0.25">
      <c r="E136" s="30"/>
      <c r="F136" s="30"/>
      <c r="G136" s="30"/>
      <c r="H136" s="30"/>
    </row>
    <row r="137" spans="5:8" s="21" customFormat="1" ht="12.75" x14ac:dyDescent="0.25">
      <c r="E137" s="30"/>
      <c r="F137" s="30"/>
      <c r="G137" s="30"/>
      <c r="H137" s="30"/>
    </row>
    <row r="138" spans="5:8" s="21" customFormat="1" ht="12.75" x14ac:dyDescent="0.25">
      <c r="E138" s="30"/>
      <c r="F138" s="30"/>
      <c r="G138" s="30"/>
      <c r="H138" s="30"/>
    </row>
    <row r="139" spans="5:8" s="21" customFormat="1" ht="12.75" x14ac:dyDescent="0.25">
      <c r="E139" s="30"/>
      <c r="F139" s="30"/>
      <c r="G139" s="30"/>
      <c r="H139" s="30"/>
    </row>
    <row r="140" spans="5:8" s="21" customFormat="1" ht="12.75" x14ac:dyDescent="0.25">
      <c r="E140" s="30"/>
      <c r="F140" s="30"/>
      <c r="G140" s="30"/>
      <c r="H140" s="30"/>
    </row>
    <row r="141" spans="5:8" s="21" customFormat="1" ht="12.75" x14ac:dyDescent="0.25">
      <c r="E141" s="30"/>
      <c r="F141" s="30"/>
      <c r="G141" s="30"/>
      <c r="H141" s="30"/>
    </row>
    <row r="142" spans="5:8" s="21" customFormat="1" ht="12.75" x14ac:dyDescent="0.25">
      <c r="E142" s="30"/>
      <c r="F142" s="30"/>
      <c r="G142" s="30"/>
      <c r="H142" s="30"/>
    </row>
    <row r="143" spans="5:8" s="21" customFormat="1" ht="12.75" x14ac:dyDescent="0.25">
      <c r="E143" s="30"/>
      <c r="F143" s="30"/>
      <c r="G143" s="30"/>
      <c r="H143" s="30"/>
    </row>
    <row r="144" spans="5:8" s="21" customFormat="1" ht="12.75" x14ac:dyDescent="0.25">
      <c r="E144" s="30"/>
      <c r="F144" s="30"/>
      <c r="G144" s="30"/>
      <c r="H144" s="30"/>
    </row>
    <row r="145" spans="5:8" s="21" customFormat="1" ht="12.75" x14ac:dyDescent="0.25">
      <c r="E145" s="30"/>
      <c r="F145" s="30"/>
      <c r="G145" s="30"/>
      <c r="H145" s="30"/>
    </row>
    <row r="146" spans="5:8" s="21" customFormat="1" ht="12.75" x14ac:dyDescent="0.25">
      <c r="E146" s="30"/>
      <c r="F146" s="30"/>
      <c r="G146" s="30"/>
      <c r="H146" s="30"/>
    </row>
    <row r="147" spans="5:8" s="21" customFormat="1" ht="12.75" x14ac:dyDescent="0.25">
      <c r="E147" s="30"/>
      <c r="F147" s="30"/>
      <c r="G147" s="30"/>
      <c r="H147" s="30"/>
    </row>
    <row r="148" spans="5:8" s="21" customFormat="1" ht="12.75" x14ac:dyDescent="0.25">
      <c r="E148" s="30"/>
      <c r="F148" s="30"/>
      <c r="G148" s="30"/>
      <c r="H148" s="30"/>
    </row>
    <row r="149" spans="5:8" s="21" customFormat="1" ht="12.75" x14ac:dyDescent="0.25">
      <c r="E149" s="30"/>
      <c r="F149" s="30"/>
      <c r="G149" s="30"/>
      <c r="H149" s="30"/>
    </row>
    <row r="150" spans="5:8" s="21" customFormat="1" ht="12.75" x14ac:dyDescent="0.25">
      <c r="E150" s="30"/>
      <c r="F150" s="30"/>
      <c r="G150" s="30"/>
      <c r="H150" s="30"/>
    </row>
    <row r="151" spans="5:8" s="21" customFormat="1" ht="12.75" x14ac:dyDescent="0.25">
      <c r="E151" s="30"/>
      <c r="F151" s="30"/>
      <c r="G151" s="30"/>
      <c r="H151" s="30"/>
    </row>
    <row r="152" spans="5:8" s="21" customFormat="1" ht="12.75" x14ac:dyDescent="0.25">
      <c r="E152" s="30"/>
      <c r="F152" s="30"/>
      <c r="G152" s="30"/>
      <c r="H152" s="30"/>
    </row>
    <row r="153" spans="5:8" s="21" customFormat="1" ht="12.75" x14ac:dyDescent="0.25">
      <c r="E153" s="30"/>
      <c r="F153" s="30"/>
      <c r="G153" s="30"/>
      <c r="H153" s="30"/>
    </row>
    <row r="154" spans="5:8" s="21" customFormat="1" ht="12.75" x14ac:dyDescent="0.25">
      <c r="E154" s="30"/>
      <c r="F154" s="30"/>
      <c r="G154" s="30"/>
      <c r="H154" s="30"/>
    </row>
    <row r="155" spans="5:8" s="21" customFormat="1" ht="12.75" x14ac:dyDescent="0.25">
      <c r="E155" s="30"/>
      <c r="F155" s="30"/>
      <c r="G155" s="30"/>
      <c r="H155" s="30"/>
    </row>
    <row r="156" spans="5:8" s="21" customFormat="1" ht="12.75" x14ac:dyDescent="0.25">
      <c r="E156" s="30"/>
      <c r="F156" s="30"/>
      <c r="G156" s="30"/>
      <c r="H156" s="30"/>
    </row>
    <row r="157" spans="5:8" s="21" customFormat="1" ht="12.75" x14ac:dyDescent="0.25">
      <c r="E157" s="30"/>
      <c r="F157" s="30"/>
      <c r="G157" s="30"/>
      <c r="H157" s="30"/>
    </row>
    <row r="158" spans="5:8" s="21" customFormat="1" ht="12.75" x14ac:dyDescent="0.25">
      <c r="E158" s="30"/>
      <c r="F158" s="30"/>
      <c r="G158" s="30"/>
      <c r="H158" s="30"/>
    </row>
    <row r="159" spans="5:8" s="21" customFormat="1" ht="12.75" x14ac:dyDescent="0.25">
      <c r="E159" s="30"/>
      <c r="F159" s="30"/>
      <c r="G159" s="30"/>
      <c r="H159" s="30"/>
    </row>
    <row r="160" spans="5:8" s="21" customFormat="1" ht="12.75" x14ac:dyDescent="0.25">
      <c r="E160" s="30"/>
      <c r="F160" s="30"/>
      <c r="G160" s="30"/>
      <c r="H160" s="30"/>
    </row>
    <row r="161" spans="5:8" s="21" customFormat="1" ht="12.75" x14ac:dyDescent="0.25">
      <c r="E161" s="30"/>
      <c r="F161" s="30"/>
      <c r="G161" s="30"/>
      <c r="H161" s="30"/>
    </row>
    <row r="162" spans="5:8" s="21" customFormat="1" ht="12.75" x14ac:dyDescent="0.25">
      <c r="E162" s="30"/>
      <c r="F162" s="30"/>
      <c r="G162" s="30"/>
      <c r="H162" s="30"/>
    </row>
    <row r="163" spans="5:8" s="21" customFormat="1" ht="12.75" x14ac:dyDescent="0.25">
      <c r="E163" s="30"/>
      <c r="F163" s="30"/>
      <c r="G163" s="30"/>
      <c r="H163" s="30"/>
    </row>
    <row r="164" spans="5:8" s="21" customFormat="1" ht="12.75" x14ac:dyDescent="0.25">
      <c r="E164" s="30"/>
      <c r="F164" s="30"/>
      <c r="G164" s="30"/>
      <c r="H164" s="30"/>
    </row>
    <row r="165" spans="5:8" s="21" customFormat="1" ht="12.75" x14ac:dyDescent="0.25">
      <c r="E165" s="30"/>
      <c r="F165" s="30"/>
      <c r="G165" s="30"/>
      <c r="H165" s="30"/>
    </row>
    <row r="166" spans="5:8" s="21" customFormat="1" ht="12.75" x14ac:dyDescent="0.25">
      <c r="E166" s="30"/>
      <c r="F166" s="30"/>
      <c r="G166" s="30"/>
      <c r="H166" s="30"/>
    </row>
    <row r="167" spans="5:8" s="21" customFormat="1" ht="12.75" x14ac:dyDescent="0.25">
      <c r="E167" s="30"/>
      <c r="F167" s="30"/>
      <c r="G167" s="30"/>
      <c r="H167" s="30"/>
    </row>
    <row r="168" spans="5:8" s="21" customFormat="1" ht="12.75" x14ac:dyDescent="0.25">
      <c r="E168" s="30"/>
      <c r="F168" s="30"/>
      <c r="G168" s="30"/>
      <c r="H168" s="30"/>
    </row>
    <row r="169" spans="5:8" s="21" customFormat="1" ht="12.75" x14ac:dyDescent="0.25">
      <c r="E169" s="30"/>
      <c r="F169" s="30"/>
      <c r="G169" s="30"/>
      <c r="H169" s="30"/>
    </row>
    <row r="170" spans="5:8" s="21" customFormat="1" ht="12.75" x14ac:dyDescent="0.25">
      <c r="E170" s="30"/>
      <c r="F170" s="30"/>
      <c r="G170" s="30"/>
      <c r="H170" s="30"/>
    </row>
    <row r="171" spans="5:8" s="21" customFormat="1" ht="12.75" x14ac:dyDescent="0.25">
      <c r="E171" s="30"/>
      <c r="F171" s="30"/>
      <c r="G171" s="30"/>
      <c r="H171" s="30"/>
    </row>
    <row r="172" spans="5:8" s="21" customFormat="1" ht="12.75" x14ac:dyDescent="0.25">
      <c r="E172" s="30"/>
      <c r="F172" s="30"/>
      <c r="G172" s="30"/>
      <c r="H172" s="30"/>
    </row>
    <row r="173" spans="5:8" s="21" customFormat="1" ht="12.75" x14ac:dyDescent="0.25">
      <c r="E173" s="30"/>
      <c r="F173" s="30"/>
      <c r="G173" s="30"/>
      <c r="H173" s="30"/>
    </row>
    <row r="174" spans="5:8" s="21" customFormat="1" ht="12.75" x14ac:dyDescent="0.25">
      <c r="E174" s="30"/>
      <c r="F174" s="30"/>
      <c r="G174" s="30"/>
      <c r="H174" s="30"/>
    </row>
    <row r="175" spans="5:8" s="21" customFormat="1" ht="12.75" x14ac:dyDescent="0.25">
      <c r="E175" s="30"/>
      <c r="F175" s="30"/>
      <c r="G175" s="30"/>
      <c r="H175" s="30"/>
    </row>
    <row r="176" spans="5:8" s="21" customFormat="1" ht="12.75" x14ac:dyDescent="0.25">
      <c r="E176" s="30"/>
      <c r="F176" s="30"/>
      <c r="G176" s="30"/>
      <c r="H176" s="30"/>
    </row>
    <row r="177" spans="5:8" s="21" customFormat="1" ht="12.75" x14ac:dyDescent="0.25">
      <c r="E177" s="30"/>
      <c r="F177" s="30"/>
      <c r="G177" s="30"/>
      <c r="H177" s="30"/>
    </row>
    <row r="178" spans="5:8" s="21" customFormat="1" ht="12.75" x14ac:dyDescent="0.25">
      <c r="E178" s="30"/>
      <c r="F178" s="30"/>
      <c r="G178" s="30"/>
      <c r="H178" s="30"/>
    </row>
    <row r="179" spans="5:8" s="21" customFormat="1" ht="12.75" x14ac:dyDescent="0.25">
      <c r="E179" s="30"/>
      <c r="F179" s="30"/>
      <c r="G179" s="30"/>
      <c r="H179" s="30"/>
    </row>
    <row r="180" spans="5:8" s="21" customFormat="1" ht="12.75" x14ac:dyDescent="0.25">
      <c r="E180" s="30"/>
      <c r="F180" s="30"/>
      <c r="G180" s="30"/>
      <c r="H180" s="30"/>
    </row>
    <row r="181" spans="5:8" s="21" customFormat="1" ht="12.75" x14ac:dyDescent="0.25">
      <c r="E181" s="30"/>
      <c r="F181" s="30"/>
      <c r="G181" s="30"/>
      <c r="H181" s="30"/>
    </row>
    <row r="182" spans="5:8" s="21" customFormat="1" ht="12.75" x14ac:dyDescent="0.25">
      <c r="E182" s="30"/>
      <c r="F182" s="30"/>
      <c r="G182" s="30"/>
      <c r="H182" s="30"/>
    </row>
    <row r="183" spans="5:8" s="21" customFormat="1" ht="12.75" x14ac:dyDescent="0.25">
      <c r="E183" s="30"/>
      <c r="F183" s="30"/>
      <c r="G183" s="30"/>
      <c r="H183" s="30"/>
    </row>
    <row r="184" spans="5:8" s="21" customFormat="1" ht="12.75" x14ac:dyDescent="0.25">
      <c r="E184" s="30"/>
      <c r="F184" s="30"/>
      <c r="G184" s="30"/>
      <c r="H184" s="30"/>
    </row>
    <row r="185" spans="5:8" s="21" customFormat="1" ht="12.75" x14ac:dyDescent="0.25">
      <c r="E185" s="30"/>
      <c r="F185" s="30"/>
      <c r="G185" s="30"/>
      <c r="H185" s="30"/>
    </row>
    <row r="186" spans="5:8" s="21" customFormat="1" ht="12.75" x14ac:dyDescent="0.25">
      <c r="E186" s="30"/>
      <c r="F186" s="30"/>
      <c r="G186" s="30"/>
      <c r="H186" s="30"/>
    </row>
    <row r="187" spans="5:8" s="21" customFormat="1" ht="12.75" x14ac:dyDescent="0.25">
      <c r="E187" s="30"/>
      <c r="F187" s="30"/>
      <c r="G187" s="30"/>
      <c r="H187" s="30"/>
    </row>
    <row r="188" spans="5:8" s="21" customFormat="1" ht="12.75" x14ac:dyDescent="0.25">
      <c r="E188" s="30"/>
      <c r="F188" s="30"/>
      <c r="G188" s="30"/>
      <c r="H188" s="30"/>
    </row>
    <row r="189" spans="5:8" s="21" customFormat="1" ht="12.75" x14ac:dyDescent="0.25">
      <c r="E189" s="30"/>
      <c r="F189" s="30"/>
      <c r="G189" s="30"/>
      <c r="H189" s="30"/>
    </row>
    <row r="190" spans="5:8" s="21" customFormat="1" ht="12.75" x14ac:dyDescent="0.25">
      <c r="E190" s="30"/>
      <c r="F190" s="30"/>
      <c r="G190" s="30"/>
      <c r="H190" s="30"/>
    </row>
    <row r="191" spans="5:8" s="21" customFormat="1" ht="12.75" x14ac:dyDescent="0.25">
      <c r="E191" s="30"/>
      <c r="F191" s="30"/>
      <c r="G191" s="30"/>
      <c r="H191" s="30"/>
    </row>
    <row r="192" spans="5:8" s="21" customFormat="1" ht="12.75" x14ac:dyDescent="0.25">
      <c r="E192" s="30"/>
      <c r="F192" s="30"/>
      <c r="G192" s="30"/>
      <c r="H192" s="30"/>
    </row>
    <row r="193" spans="5:8" s="21" customFormat="1" ht="12.75" x14ac:dyDescent="0.25">
      <c r="E193" s="30"/>
      <c r="F193" s="30"/>
      <c r="G193" s="30"/>
      <c r="H193" s="30"/>
    </row>
    <row r="194" spans="5:8" s="21" customFormat="1" ht="12.75" x14ac:dyDescent="0.25">
      <c r="E194" s="30"/>
      <c r="F194" s="30"/>
      <c r="G194" s="30"/>
      <c r="H194" s="30"/>
    </row>
    <row r="195" spans="5:8" s="21" customFormat="1" ht="12.75" x14ac:dyDescent="0.25">
      <c r="E195" s="30"/>
      <c r="F195" s="30"/>
      <c r="G195" s="30"/>
      <c r="H195" s="30"/>
    </row>
    <row r="196" spans="5:8" s="21" customFormat="1" ht="12.75" x14ac:dyDescent="0.25">
      <c r="E196" s="30"/>
      <c r="F196" s="30"/>
      <c r="G196" s="30"/>
      <c r="H196" s="30"/>
    </row>
    <row r="197" spans="5:8" s="21" customFormat="1" ht="12.75" x14ac:dyDescent="0.25">
      <c r="E197" s="30"/>
      <c r="F197" s="30"/>
      <c r="G197" s="30"/>
      <c r="H197" s="30"/>
    </row>
    <row r="198" spans="5:8" s="21" customFormat="1" ht="12.75" x14ac:dyDescent="0.25">
      <c r="E198" s="30"/>
      <c r="F198" s="30"/>
      <c r="G198" s="30"/>
      <c r="H198" s="30"/>
    </row>
    <row r="199" spans="5:8" s="21" customFormat="1" ht="12.75" x14ac:dyDescent="0.25">
      <c r="E199" s="30"/>
      <c r="F199" s="30"/>
      <c r="G199" s="30"/>
      <c r="H199" s="30"/>
    </row>
    <row r="200" spans="5:8" s="21" customFormat="1" ht="12.75" x14ac:dyDescent="0.25">
      <c r="E200" s="30"/>
      <c r="F200" s="30"/>
      <c r="G200" s="30"/>
      <c r="H200" s="30"/>
    </row>
    <row r="201" spans="5:8" s="21" customFormat="1" ht="12.75" x14ac:dyDescent="0.25">
      <c r="E201" s="30"/>
      <c r="F201" s="30"/>
      <c r="G201" s="30"/>
      <c r="H201" s="30"/>
    </row>
    <row r="202" spans="5:8" s="21" customFormat="1" ht="12.75" x14ac:dyDescent="0.25">
      <c r="E202" s="30"/>
      <c r="F202" s="30"/>
      <c r="G202" s="30"/>
      <c r="H202" s="30"/>
    </row>
    <row r="203" spans="5:8" s="21" customFormat="1" ht="12.75" x14ac:dyDescent="0.25">
      <c r="E203" s="30"/>
      <c r="F203" s="30"/>
      <c r="G203" s="30"/>
      <c r="H203" s="30"/>
    </row>
    <row r="204" spans="5:8" s="21" customFormat="1" ht="12.75" x14ac:dyDescent="0.25">
      <c r="E204" s="30"/>
      <c r="F204" s="30"/>
      <c r="G204" s="30"/>
      <c r="H204" s="30"/>
    </row>
    <row r="205" spans="5:8" s="21" customFormat="1" ht="12.75" x14ac:dyDescent="0.25">
      <c r="E205" s="30"/>
      <c r="F205" s="30"/>
      <c r="G205" s="30"/>
      <c r="H205" s="30"/>
    </row>
    <row r="206" spans="5:8" s="21" customFormat="1" ht="12.75" x14ac:dyDescent="0.25">
      <c r="E206" s="30"/>
      <c r="F206" s="30"/>
      <c r="G206" s="30"/>
      <c r="H206" s="30"/>
    </row>
    <row r="207" spans="5:8" s="21" customFormat="1" ht="12.75" x14ac:dyDescent="0.25">
      <c r="E207" s="30"/>
      <c r="F207" s="30"/>
      <c r="G207" s="30"/>
      <c r="H207" s="30"/>
    </row>
    <row r="208" spans="5:8" s="21" customFormat="1" ht="12.75" x14ac:dyDescent="0.25">
      <c r="E208" s="30"/>
      <c r="F208" s="30"/>
      <c r="G208" s="30"/>
      <c r="H208" s="30"/>
    </row>
    <row r="209" spans="5:8" s="21" customFormat="1" ht="12.75" x14ac:dyDescent="0.25">
      <c r="E209" s="30"/>
      <c r="F209" s="30"/>
      <c r="G209" s="30"/>
      <c r="H209" s="30"/>
    </row>
    <row r="210" spans="5:8" s="21" customFormat="1" ht="12.75" x14ac:dyDescent="0.25">
      <c r="E210" s="30"/>
      <c r="F210" s="30"/>
      <c r="G210" s="30"/>
      <c r="H210" s="30"/>
    </row>
    <row r="211" spans="5:8" s="21" customFormat="1" ht="12.75" x14ac:dyDescent="0.25">
      <c r="E211" s="30"/>
      <c r="F211" s="30"/>
      <c r="G211" s="30"/>
      <c r="H211" s="30"/>
    </row>
    <row r="212" spans="5:8" s="21" customFormat="1" ht="12.75" x14ac:dyDescent="0.25">
      <c r="E212" s="30"/>
      <c r="F212" s="30"/>
      <c r="G212" s="30"/>
      <c r="H212" s="30"/>
    </row>
    <row r="213" spans="5:8" s="21" customFormat="1" ht="12.75" x14ac:dyDescent="0.25">
      <c r="E213" s="30"/>
      <c r="F213" s="30"/>
      <c r="G213" s="30"/>
      <c r="H213" s="30"/>
    </row>
    <row r="214" spans="5:8" s="21" customFormat="1" ht="12.75" x14ac:dyDescent="0.25">
      <c r="E214" s="30"/>
      <c r="F214" s="30"/>
      <c r="G214" s="30"/>
      <c r="H214" s="30"/>
    </row>
    <row r="215" spans="5:8" s="21" customFormat="1" ht="12.75" x14ac:dyDescent="0.25">
      <c r="E215" s="30"/>
      <c r="F215" s="30"/>
      <c r="G215" s="30"/>
      <c r="H215" s="30"/>
    </row>
    <row r="216" spans="5:8" s="21" customFormat="1" ht="12.75" x14ac:dyDescent="0.25">
      <c r="E216" s="30"/>
      <c r="F216" s="30"/>
      <c r="G216" s="30"/>
      <c r="H216" s="30"/>
    </row>
    <row r="217" spans="5:8" s="21" customFormat="1" ht="12.75" x14ac:dyDescent="0.25">
      <c r="E217" s="30"/>
      <c r="F217" s="30"/>
      <c r="G217" s="30"/>
      <c r="H217" s="30"/>
    </row>
    <row r="218" spans="5:8" s="21" customFormat="1" ht="12.75" x14ac:dyDescent="0.25">
      <c r="E218" s="30"/>
      <c r="F218" s="30"/>
      <c r="G218" s="30"/>
      <c r="H218" s="30"/>
    </row>
    <row r="219" spans="5:8" s="21" customFormat="1" ht="12.75" x14ac:dyDescent="0.25">
      <c r="E219" s="30"/>
      <c r="F219" s="30"/>
      <c r="G219" s="30"/>
      <c r="H219" s="30"/>
    </row>
    <row r="220" spans="5:8" s="21" customFormat="1" ht="12.75" x14ac:dyDescent="0.25">
      <c r="E220" s="30"/>
      <c r="F220" s="30"/>
      <c r="G220" s="30"/>
      <c r="H220" s="30"/>
    </row>
    <row r="221" spans="5:8" s="21" customFormat="1" ht="12.75" x14ac:dyDescent="0.25">
      <c r="E221" s="30"/>
      <c r="F221" s="30"/>
      <c r="G221" s="30"/>
      <c r="H221" s="30"/>
    </row>
    <row r="222" spans="5:8" s="21" customFormat="1" ht="12.75" x14ac:dyDescent="0.25">
      <c r="E222" s="30"/>
      <c r="F222" s="30"/>
      <c r="G222" s="30"/>
      <c r="H222" s="30"/>
    </row>
    <row r="223" spans="5:8" s="21" customFormat="1" ht="12.75" x14ac:dyDescent="0.25">
      <c r="E223" s="30"/>
      <c r="F223" s="30"/>
      <c r="G223" s="30"/>
      <c r="H223" s="30"/>
    </row>
    <row r="224" spans="5:8" s="21" customFormat="1" ht="12.75" x14ac:dyDescent="0.25">
      <c r="E224" s="30"/>
      <c r="F224" s="30"/>
      <c r="G224" s="30"/>
      <c r="H224" s="30"/>
    </row>
    <row r="225" spans="5:8" s="21" customFormat="1" ht="12.75" x14ac:dyDescent="0.25">
      <c r="E225" s="30"/>
      <c r="F225" s="30"/>
      <c r="G225" s="30"/>
      <c r="H225" s="30"/>
    </row>
    <row r="226" spans="5:8" s="21" customFormat="1" ht="12.75" x14ac:dyDescent="0.25">
      <c r="E226" s="30"/>
      <c r="F226" s="30"/>
      <c r="G226" s="30"/>
      <c r="H226" s="30"/>
    </row>
    <row r="227" spans="5:8" s="21" customFormat="1" ht="12.75" x14ac:dyDescent="0.25">
      <c r="E227" s="30"/>
      <c r="F227" s="30"/>
      <c r="G227" s="30"/>
      <c r="H227" s="30"/>
    </row>
    <row r="228" spans="5:8" s="21" customFormat="1" ht="12.75" x14ac:dyDescent="0.25">
      <c r="E228" s="30"/>
      <c r="F228" s="30"/>
      <c r="G228" s="30"/>
      <c r="H228" s="30"/>
    </row>
    <row r="229" spans="5:8" s="21" customFormat="1" ht="12.75" x14ac:dyDescent="0.25">
      <c r="E229" s="30"/>
      <c r="F229" s="30"/>
      <c r="G229" s="30"/>
      <c r="H229" s="30"/>
    </row>
    <row r="230" spans="5:8" s="21" customFormat="1" ht="12.75" x14ac:dyDescent="0.25">
      <c r="E230" s="30"/>
      <c r="F230" s="30"/>
      <c r="G230" s="30"/>
      <c r="H230" s="30"/>
    </row>
    <row r="231" spans="5:8" s="21" customFormat="1" ht="12.75" x14ac:dyDescent="0.25">
      <c r="E231" s="30"/>
      <c r="F231" s="30"/>
      <c r="G231" s="30"/>
      <c r="H231" s="30"/>
    </row>
    <row r="232" spans="5:8" s="21" customFormat="1" ht="12.75" x14ac:dyDescent="0.25">
      <c r="E232" s="30"/>
      <c r="F232" s="30"/>
      <c r="G232" s="30"/>
      <c r="H232" s="30"/>
    </row>
    <row r="233" spans="5:8" s="21" customFormat="1" ht="12.75" x14ac:dyDescent="0.25">
      <c r="E233" s="30"/>
      <c r="F233" s="30"/>
      <c r="G233" s="30"/>
      <c r="H233" s="30"/>
    </row>
    <row r="234" spans="5:8" s="21" customFormat="1" ht="12.75" x14ac:dyDescent="0.25">
      <c r="E234" s="30"/>
      <c r="F234" s="30"/>
      <c r="G234" s="30"/>
      <c r="H234" s="30"/>
    </row>
    <row r="235" spans="5:8" s="21" customFormat="1" ht="12.75" x14ac:dyDescent="0.25">
      <c r="E235" s="30"/>
      <c r="F235" s="30"/>
      <c r="G235" s="30"/>
      <c r="H235" s="30"/>
    </row>
    <row r="236" spans="5:8" s="21" customFormat="1" ht="12.75" x14ac:dyDescent="0.25">
      <c r="E236" s="30"/>
      <c r="F236" s="30"/>
      <c r="G236" s="30"/>
      <c r="H236" s="30"/>
    </row>
  </sheetData>
  <mergeCells count="55">
    <mergeCell ref="H86:J86"/>
    <mergeCell ref="H87:J87"/>
    <mergeCell ref="H88:J88"/>
    <mergeCell ref="H89:J89"/>
    <mergeCell ref="H90:J90"/>
    <mergeCell ref="H91:J91"/>
    <mergeCell ref="H80:J80"/>
    <mergeCell ref="H81:J81"/>
    <mergeCell ref="H82:J82"/>
    <mergeCell ref="H83:J83"/>
    <mergeCell ref="H84:J84"/>
    <mergeCell ref="H85:J85"/>
    <mergeCell ref="A37:A47"/>
    <mergeCell ref="H75:J75"/>
    <mergeCell ref="H76:J76"/>
    <mergeCell ref="H77:J77"/>
    <mergeCell ref="H78:J78"/>
    <mergeCell ref="H79:J79"/>
    <mergeCell ref="A63:A67"/>
    <mergeCell ref="B63:B67"/>
    <mergeCell ref="A70:J70"/>
    <mergeCell ref="A71:J71"/>
    <mergeCell ref="B68:B69"/>
    <mergeCell ref="A68:A69"/>
    <mergeCell ref="A23:A32"/>
    <mergeCell ref="B23:B32"/>
    <mergeCell ref="B34:B35"/>
    <mergeCell ref="A34:A35"/>
    <mergeCell ref="B56:B60"/>
    <mergeCell ref="A56:A60"/>
    <mergeCell ref="B49:B50"/>
    <mergeCell ref="B37:B47"/>
    <mergeCell ref="A15:J15"/>
    <mergeCell ref="A16:K16"/>
    <mergeCell ref="A17:A19"/>
    <mergeCell ref="B17:B19"/>
    <mergeCell ref="A21:J21"/>
    <mergeCell ref="A22:K22"/>
    <mergeCell ref="G5:G6"/>
    <mergeCell ref="H5:J5"/>
    <mergeCell ref="A8:K8"/>
    <mergeCell ref="A10:A12"/>
    <mergeCell ref="B10:B12"/>
    <mergeCell ref="A13:A14"/>
    <mergeCell ref="B13:B14"/>
    <mergeCell ref="A1:K1"/>
    <mergeCell ref="A3:A6"/>
    <mergeCell ref="B3:B6"/>
    <mergeCell ref="C3:C6"/>
    <mergeCell ref="D3:D6"/>
    <mergeCell ref="E3:J3"/>
    <mergeCell ref="K3:K6"/>
    <mergeCell ref="E4:E6"/>
    <mergeCell ref="F4:J4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142"/>
  <sheetViews>
    <sheetView view="pageBreakPreview" topLeftCell="A3" zoomScale="85" zoomScaleNormal="85" zoomScaleSheetLayoutView="85" zoomScalePageLayoutView="115" workbookViewId="0">
      <pane ySplit="6" topLeftCell="A117" activePane="bottomLeft" state="frozen"/>
      <selection activeCell="A3" sqref="A3"/>
      <selection pane="bottomLeft" activeCell="E150" sqref="E150"/>
    </sheetView>
  </sheetViews>
  <sheetFormatPr defaultRowHeight="15" x14ac:dyDescent="0.25"/>
  <cols>
    <col min="1" max="1" width="8.85546875" style="14" customWidth="1"/>
    <col min="2" max="2" width="46" style="2" customWidth="1"/>
    <col min="3" max="3" width="13.7109375" style="2" customWidth="1"/>
    <col min="4" max="4" width="15.7109375" style="2" customWidth="1"/>
    <col min="5" max="5" width="11.28515625" style="2" customWidth="1"/>
    <col min="6" max="7" width="12.7109375" style="2" bestFit="1" customWidth="1"/>
    <col min="8" max="8" width="11.5703125" style="2" customWidth="1"/>
    <col min="9" max="9" width="35.7109375" style="2" customWidth="1"/>
    <col min="10" max="10" width="8.85546875" style="2" customWidth="1"/>
    <col min="11" max="12" width="9.42578125" style="2" bestFit="1" customWidth="1"/>
    <col min="13" max="13" width="12.140625" style="2" customWidth="1"/>
    <col min="14" max="16384" width="9.140625" style="2"/>
  </cols>
  <sheetData>
    <row r="1" spans="1:13" ht="53.25" hidden="1" customHeight="1" x14ac:dyDescent="0.25">
      <c r="I1" s="13"/>
      <c r="J1" s="157" t="s">
        <v>125</v>
      </c>
      <c r="K1" s="158"/>
      <c r="L1" s="158"/>
      <c r="M1" s="159"/>
    </row>
    <row r="2" spans="1:13" ht="9" hidden="1" customHeight="1" x14ac:dyDescent="0.25">
      <c r="J2" s="13"/>
      <c r="K2" s="13"/>
      <c r="L2" s="13"/>
      <c r="M2" s="13"/>
    </row>
    <row r="3" spans="1:13" s="6" customFormat="1" ht="16.5" customHeight="1" x14ac:dyDescent="0.3">
      <c r="A3" s="160" t="s">
        <v>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9" customHeight="1" x14ac:dyDescent="0.25"/>
    <row r="5" spans="1:13" ht="15.75" customHeight="1" x14ac:dyDescent="0.25">
      <c r="A5" s="162" t="s">
        <v>0</v>
      </c>
      <c r="B5" s="161" t="s">
        <v>46</v>
      </c>
      <c r="C5" s="161" t="s">
        <v>2</v>
      </c>
      <c r="D5" s="161" t="s">
        <v>3</v>
      </c>
      <c r="E5" s="161" t="s">
        <v>4</v>
      </c>
      <c r="F5" s="161"/>
      <c r="G5" s="161"/>
      <c r="H5" s="161"/>
      <c r="I5" s="161" t="s">
        <v>5</v>
      </c>
      <c r="J5" s="161"/>
      <c r="K5" s="161"/>
      <c r="L5" s="161"/>
      <c r="M5" s="161"/>
    </row>
    <row r="6" spans="1:13" x14ac:dyDescent="0.25">
      <c r="A6" s="162"/>
      <c r="B6" s="161"/>
      <c r="C6" s="161"/>
      <c r="D6" s="161"/>
      <c r="E6" s="161" t="s">
        <v>6</v>
      </c>
      <c r="F6" s="161" t="s">
        <v>7</v>
      </c>
      <c r="G6" s="161"/>
      <c r="H6" s="161"/>
      <c r="I6" s="161"/>
      <c r="J6" s="161"/>
      <c r="K6" s="161"/>
      <c r="L6" s="161"/>
      <c r="M6" s="161"/>
    </row>
    <row r="7" spans="1:13" x14ac:dyDescent="0.25">
      <c r="A7" s="162"/>
      <c r="B7" s="161"/>
      <c r="C7" s="161"/>
      <c r="D7" s="161"/>
      <c r="E7" s="161"/>
      <c r="F7" s="1">
        <v>2014</v>
      </c>
      <c r="G7" s="1">
        <v>2015</v>
      </c>
      <c r="H7" s="1">
        <v>2016</v>
      </c>
      <c r="I7" s="1" t="s">
        <v>1</v>
      </c>
      <c r="J7" s="1" t="s">
        <v>8</v>
      </c>
      <c r="K7" s="1">
        <v>2014</v>
      </c>
      <c r="L7" s="1">
        <v>2015</v>
      </c>
      <c r="M7" s="1">
        <v>2016</v>
      </c>
    </row>
    <row r="8" spans="1:13" ht="12" customHeight="1" x14ac:dyDescent="0.25">
      <c r="A8" s="15">
        <v>1</v>
      </c>
      <c r="B8" s="1">
        <v>2</v>
      </c>
      <c r="C8" s="1">
        <v>3</v>
      </c>
      <c r="D8" s="1"/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</row>
    <row r="9" spans="1:13" ht="27" customHeight="1" x14ac:dyDescent="0.25">
      <c r="A9" s="146" t="s">
        <v>47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x14ac:dyDescent="0.25">
      <c r="A10" s="16"/>
      <c r="B10" s="146" t="s">
        <v>131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s="6" customFormat="1" ht="14.25" customHeight="1" x14ac:dyDescent="0.2">
      <c r="A11" s="117" t="s">
        <v>132</v>
      </c>
      <c r="B11" s="120" t="s">
        <v>130</v>
      </c>
      <c r="C11" s="146"/>
      <c r="D11" s="3" t="s">
        <v>6</v>
      </c>
      <c r="E11" s="7">
        <f>SUM(F11:H11)</f>
        <v>2841925</v>
      </c>
      <c r="F11" s="7">
        <f>SUM(F12:F13)</f>
        <v>1256095</v>
      </c>
      <c r="G11" s="7">
        <f>SUM(G12:G13)</f>
        <v>785830</v>
      </c>
      <c r="H11" s="7">
        <f>SUM(H12:H13)</f>
        <v>800000</v>
      </c>
      <c r="I11" s="132" t="s">
        <v>100</v>
      </c>
      <c r="J11" s="129" t="s">
        <v>9</v>
      </c>
      <c r="K11" s="129" t="s">
        <v>101</v>
      </c>
      <c r="L11" s="129" t="s">
        <v>102</v>
      </c>
      <c r="M11" s="114" t="s">
        <v>102</v>
      </c>
    </row>
    <row r="12" spans="1:13" s="6" customFormat="1" ht="14.25" customHeight="1" x14ac:dyDescent="0.2">
      <c r="A12" s="140"/>
      <c r="B12" s="138"/>
      <c r="C12" s="146"/>
      <c r="D12" s="3" t="s">
        <v>10</v>
      </c>
      <c r="E12" s="7">
        <f t="shared" ref="E12:E49" si="0">SUM(F12:H12)</f>
        <v>0</v>
      </c>
      <c r="F12" s="7">
        <f t="shared" ref="F12:H13" si="1">F18+F21</f>
        <v>0</v>
      </c>
      <c r="G12" s="7">
        <f t="shared" si="1"/>
        <v>0</v>
      </c>
      <c r="H12" s="7">
        <f t="shared" si="1"/>
        <v>0</v>
      </c>
      <c r="I12" s="133"/>
      <c r="J12" s="130"/>
      <c r="K12" s="130"/>
      <c r="L12" s="130"/>
      <c r="M12" s="115"/>
    </row>
    <row r="13" spans="1:13" s="6" customFormat="1" ht="14.25" customHeight="1" x14ac:dyDescent="0.2">
      <c r="A13" s="141"/>
      <c r="B13" s="139"/>
      <c r="C13" s="146"/>
      <c r="D13" s="3" t="s">
        <v>11</v>
      </c>
      <c r="E13" s="7">
        <f t="shared" si="0"/>
        <v>2841925</v>
      </c>
      <c r="F13" s="7">
        <f t="shared" si="1"/>
        <v>1256095</v>
      </c>
      <c r="G13" s="7">
        <f t="shared" si="1"/>
        <v>785830</v>
      </c>
      <c r="H13" s="7">
        <f t="shared" si="1"/>
        <v>800000</v>
      </c>
      <c r="I13" s="134"/>
      <c r="J13" s="131"/>
      <c r="K13" s="131"/>
      <c r="L13" s="131"/>
      <c r="M13" s="116"/>
    </row>
    <row r="14" spans="1:13" s="6" customFormat="1" ht="14.25" customHeight="1" x14ac:dyDescent="0.2">
      <c r="A14" s="117" t="s">
        <v>104</v>
      </c>
      <c r="B14" s="120" t="s">
        <v>61</v>
      </c>
      <c r="C14" s="123"/>
      <c r="D14" s="3" t="s">
        <v>6</v>
      </c>
      <c r="E14" s="7">
        <v>2841925</v>
      </c>
      <c r="F14" s="7">
        <v>1256095</v>
      </c>
      <c r="G14" s="7">
        <v>785830</v>
      </c>
      <c r="H14" s="7">
        <v>800000</v>
      </c>
      <c r="I14" s="126" t="s">
        <v>100</v>
      </c>
      <c r="J14" s="129" t="s">
        <v>9</v>
      </c>
      <c r="K14" s="129" t="s">
        <v>101</v>
      </c>
      <c r="L14" s="129" t="s">
        <v>102</v>
      </c>
      <c r="M14" s="114" t="s">
        <v>102</v>
      </c>
    </row>
    <row r="15" spans="1:13" s="6" customFormat="1" ht="14.25" customHeight="1" x14ac:dyDescent="0.2">
      <c r="A15" s="118"/>
      <c r="B15" s="121"/>
      <c r="C15" s="124"/>
      <c r="D15" s="3" t="s">
        <v>10</v>
      </c>
      <c r="E15" s="7">
        <v>0</v>
      </c>
      <c r="F15" s="7">
        <v>0</v>
      </c>
      <c r="G15" s="7">
        <v>0</v>
      </c>
      <c r="H15" s="7">
        <v>0</v>
      </c>
      <c r="I15" s="127"/>
      <c r="J15" s="130"/>
      <c r="K15" s="130"/>
      <c r="L15" s="130"/>
      <c r="M15" s="115"/>
    </row>
    <row r="16" spans="1:13" s="6" customFormat="1" ht="14.25" customHeight="1" x14ac:dyDescent="0.2">
      <c r="A16" s="119"/>
      <c r="B16" s="122"/>
      <c r="C16" s="125"/>
      <c r="D16" s="3" t="s">
        <v>11</v>
      </c>
      <c r="E16" s="7">
        <v>2841925</v>
      </c>
      <c r="F16" s="7">
        <v>1256095</v>
      </c>
      <c r="G16" s="7">
        <v>785830</v>
      </c>
      <c r="H16" s="7">
        <v>800000</v>
      </c>
      <c r="I16" s="128"/>
      <c r="J16" s="131"/>
      <c r="K16" s="131"/>
      <c r="L16" s="131"/>
      <c r="M16" s="116"/>
    </row>
    <row r="17" spans="1:13" ht="25.5" customHeight="1" x14ac:dyDescent="0.25">
      <c r="A17" s="135" t="s">
        <v>48</v>
      </c>
      <c r="B17" s="163" t="s">
        <v>12</v>
      </c>
      <c r="C17" s="145" t="s">
        <v>75</v>
      </c>
      <c r="D17" s="3" t="s">
        <v>6</v>
      </c>
      <c r="E17" s="7">
        <f>SUM(F17:H17)</f>
        <v>480000</v>
      </c>
      <c r="F17" s="7">
        <f>SUM(F18:F19)</f>
        <v>200000</v>
      </c>
      <c r="G17" s="7">
        <f>SUM(G18:G19)</f>
        <v>100000</v>
      </c>
      <c r="H17" s="19">
        <v>180000</v>
      </c>
      <c r="I17" s="132" t="s">
        <v>13</v>
      </c>
      <c r="J17" s="129" t="s">
        <v>9</v>
      </c>
      <c r="K17" s="129">
        <v>100</v>
      </c>
      <c r="L17" s="129">
        <v>100</v>
      </c>
      <c r="M17" s="129">
        <v>100</v>
      </c>
    </row>
    <row r="18" spans="1:13" ht="25.5" customHeight="1" x14ac:dyDescent="0.25">
      <c r="A18" s="136"/>
      <c r="B18" s="163"/>
      <c r="C18" s="145"/>
      <c r="D18" s="4" t="s">
        <v>10</v>
      </c>
      <c r="E18" s="5">
        <f t="shared" si="0"/>
        <v>0</v>
      </c>
      <c r="F18" s="5">
        <v>0</v>
      </c>
      <c r="G18" s="5">
        <v>0</v>
      </c>
      <c r="H18" s="5">
        <v>0</v>
      </c>
      <c r="I18" s="133"/>
      <c r="J18" s="130"/>
      <c r="K18" s="130"/>
      <c r="L18" s="130"/>
      <c r="M18" s="130"/>
    </row>
    <row r="19" spans="1:13" ht="25.5" customHeight="1" x14ac:dyDescent="0.25">
      <c r="A19" s="137"/>
      <c r="B19" s="163"/>
      <c r="C19" s="145"/>
      <c r="D19" s="4" t="s">
        <v>11</v>
      </c>
      <c r="E19" s="5">
        <f t="shared" si="0"/>
        <v>480000</v>
      </c>
      <c r="F19" s="5">
        <v>200000</v>
      </c>
      <c r="G19" s="5">
        <v>100000</v>
      </c>
      <c r="H19" s="18">
        <v>180000</v>
      </c>
      <c r="I19" s="134"/>
      <c r="J19" s="131"/>
      <c r="K19" s="131"/>
      <c r="L19" s="131"/>
      <c r="M19" s="131"/>
    </row>
    <row r="20" spans="1:13" ht="30" customHeight="1" x14ac:dyDescent="0.25">
      <c r="A20" s="135" t="s">
        <v>49</v>
      </c>
      <c r="B20" s="163" t="s">
        <v>14</v>
      </c>
      <c r="C20" s="145" t="s">
        <v>75</v>
      </c>
      <c r="D20" s="3" t="s">
        <v>6</v>
      </c>
      <c r="E20" s="7">
        <f>SUM(F20:H20)</f>
        <v>2361925</v>
      </c>
      <c r="F20" s="7">
        <f>SUM(F21:F22)</f>
        <v>1056095</v>
      </c>
      <c r="G20" s="7">
        <f>SUM(G21:G22)</f>
        <v>685830</v>
      </c>
      <c r="H20" s="7">
        <v>620000</v>
      </c>
      <c r="I20" s="132" t="s">
        <v>16</v>
      </c>
      <c r="J20" s="129" t="s">
        <v>77</v>
      </c>
      <c r="K20" s="129">
        <v>12</v>
      </c>
      <c r="L20" s="129">
        <v>16</v>
      </c>
      <c r="M20" s="129">
        <v>18</v>
      </c>
    </row>
    <row r="21" spans="1:13" ht="30" customHeight="1" x14ac:dyDescent="0.25">
      <c r="A21" s="136"/>
      <c r="B21" s="163"/>
      <c r="C21" s="145"/>
      <c r="D21" s="4" t="s">
        <v>10</v>
      </c>
      <c r="E21" s="5">
        <f t="shared" si="0"/>
        <v>0</v>
      </c>
      <c r="F21" s="5">
        <v>0</v>
      </c>
      <c r="G21" s="5">
        <v>0</v>
      </c>
      <c r="H21" s="5">
        <v>0</v>
      </c>
      <c r="I21" s="133"/>
      <c r="J21" s="130"/>
      <c r="K21" s="130"/>
      <c r="L21" s="130"/>
      <c r="M21" s="130"/>
    </row>
    <row r="22" spans="1:13" ht="30" customHeight="1" x14ac:dyDescent="0.25">
      <c r="A22" s="137"/>
      <c r="B22" s="163"/>
      <c r="C22" s="145"/>
      <c r="D22" s="4" t="s">
        <v>11</v>
      </c>
      <c r="E22" s="5">
        <f t="shared" si="0"/>
        <v>2361925</v>
      </c>
      <c r="F22" s="5">
        <v>1056095</v>
      </c>
      <c r="G22" s="5">
        <f>667330+18500</f>
        <v>685830</v>
      </c>
      <c r="H22" s="5">
        <v>620000</v>
      </c>
      <c r="I22" s="134"/>
      <c r="J22" s="131"/>
      <c r="K22" s="131"/>
      <c r="L22" s="131"/>
      <c r="M22" s="131"/>
    </row>
    <row r="23" spans="1:13" s="6" customFormat="1" ht="15" customHeight="1" x14ac:dyDescent="0.2">
      <c r="A23" s="117" t="s">
        <v>50</v>
      </c>
      <c r="B23" s="166" t="s">
        <v>17</v>
      </c>
      <c r="C23" s="146"/>
      <c r="D23" s="3" t="s">
        <v>6</v>
      </c>
      <c r="E23" s="7">
        <f>SUM(F23:H23)</f>
        <v>4491092</v>
      </c>
      <c r="F23" s="7">
        <f>SUM(F24:F25)</f>
        <v>3495102</v>
      </c>
      <c r="G23" s="7">
        <f>SUM(G24:G25)</f>
        <v>195000</v>
      </c>
      <c r="H23" s="7">
        <f>SUM(H24:H25)</f>
        <v>800990</v>
      </c>
      <c r="I23" s="132" t="s">
        <v>100</v>
      </c>
      <c r="J23" s="129" t="s">
        <v>9</v>
      </c>
      <c r="K23" s="129" t="s">
        <v>101</v>
      </c>
      <c r="L23" s="129" t="s">
        <v>102</v>
      </c>
      <c r="M23" s="129" t="s">
        <v>102</v>
      </c>
    </row>
    <row r="24" spans="1:13" s="6" customFormat="1" ht="15" customHeight="1" x14ac:dyDescent="0.2">
      <c r="A24" s="140"/>
      <c r="B24" s="166"/>
      <c r="C24" s="146"/>
      <c r="D24" s="3" t="s">
        <v>10</v>
      </c>
      <c r="E24" s="7">
        <f t="shared" si="0"/>
        <v>625000</v>
      </c>
      <c r="F24" s="7">
        <f t="shared" ref="F24:H25" si="2">F27+F30+F33+F36</f>
        <v>625000</v>
      </c>
      <c r="G24" s="7">
        <f t="shared" si="2"/>
        <v>0</v>
      </c>
      <c r="H24" s="7">
        <f t="shared" si="2"/>
        <v>0</v>
      </c>
      <c r="I24" s="133"/>
      <c r="J24" s="130"/>
      <c r="K24" s="130"/>
      <c r="L24" s="130"/>
      <c r="M24" s="130"/>
    </row>
    <row r="25" spans="1:13" s="6" customFormat="1" ht="15" customHeight="1" x14ac:dyDescent="0.2">
      <c r="A25" s="141"/>
      <c r="B25" s="166"/>
      <c r="C25" s="146"/>
      <c r="D25" s="3" t="s">
        <v>11</v>
      </c>
      <c r="E25" s="7">
        <f t="shared" si="0"/>
        <v>3866092</v>
      </c>
      <c r="F25" s="7">
        <f t="shared" si="2"/>
        <v>2870102</v>
      </c>
      <c r="G25" s="7">
        <f t="shared" si="2"/>
        <v>195000</v>
      </c>
      <c r="H25" s="7">
        <f t="shared" si="2"/>
        <v>800990</v>
      </c>
      <c r="I25" s="134"/>
      <c r="J25" s="131"/>
      <c r="K25" s="131"/>
      <c r="L25" s="131"/>
      <c r="M25" s="131"/>
    </row>
    <row r="26" spans="1:13" ht="14.25" customHeight="1" x14ac:dyDescent="0.25">
      <c r="A26" s="135" t="s">
        <v>52</v>
      </c>
      <c r="B26" s="163" t="s">
        <v>19</v>
      </c>
      <c r="C26" s="145" t="s">
        <v>15</v>
      </c>
      <c r="D26" s="3" t="s">
        <v>6</v>
      </c>
      <c r="E26" s="7">
        <f>SUM(F26:H26)</f>
        <v>212600</v>
      </c>
      <c r="F26" s="7">
        <f>SUM(F27:F28)</f>
        <v>212600</v>
      </c>
      <c r="G26" s="7">
        <f>SUM(G27:G28)</f>
        <v>0</v>
      </c>
      <c r="H26" s="7">
        <f>SUM(H27:H28)</f>
        <v>0</v>
      </c>
      <c r="I26" s="132" t="s">
        <v>20</v>
      </c>
      <c r="J26" s="129" t="s">
        <v>9</v>
      </c>
      <c r="K26" s="129">
        <v>100</v>
      </c>
      <c r="L26" s="129">
        <v>100</v>
      </c>
      <c r="M26" s="129">
        <v>100</v>
      </c>
    </row>
    <row r="27" spans="1:13" ht="14.25" customHeight="1" x14ac:dyDescent="0.25">
      <c r="A27" s="136"/>
      <c r="B27" s="163"/>
      <c r="C27" s="145"/>
      <c r="D27" s="4" t="s">
        <v>10</v>
      </c>
      <c r="E27" s="5">
        <f t="shared" si="0"/>
        <v>0</v>
      </c>
      <c r="F27" s="5">
        <v>0</v>
      </c>
      <c r="G27" s="5">
        <v>0</v>
      </c>
      <c r="H27" s="5">
        <v>0</v>
      </c>
      <c r="I27" s="133"/>
      <c r="J27" s="130"/>
      <c r="K27" s="130"/>
      <c r="L27" s="130"/>
      <c r="M27" s="130"/>
    </row>
    <row r="28" spans="1:13" ht="14.25" customHeight="1" x14ac:dyDescent="0.25">
      <c r="A28" s="137"/>
      <c r="B28" s="163"/>
      <c r="C28" s="145"/>
      <c r="D28" s="4" t="s">
        <v>11</v>
      </c>
      <c r="E28" s="5">
        <f t="shared" si="0"/>
        <v>212600</v>
      </c>
      <c r="F28" s="5">
        <v>212600</v>
      </c>
      <c r="G28" s="5">
        <v>0</v>
      </c>
      <c r="H28" s="5">
        <v>0</v>
      </c>
      <c r="I28" s="134"/>
      <c r="J28" s="131"/>
      <c r="K28" s="131"/>
      <c r="L28" s="131"/>
      <c r="M28" s="131"/>
    </row>
    <row r="29" spans="1:13" ht="18" customHeight="1" x14ac:dyDescent="0.25">
      <c r="A29" s="135" t="s">
        <v>53</v>
      </c>
      <c r="B29" s="165" t="s">
        <v>51</v>
      </c>
      <c r="C29" s="145" t="s">
        <v>76</v>
      </c>
      <c r="D29" s="3" t="s">
        <v>6</v>
      </c>
      <c r="E29" s="7">
        <f>SUM(F29:H29)</f>
        <v>575000</v>
      </c>
      <c r="F29" s="7">
        <f>SUM(F30:F31)</f>
        <v>180000</v>
      </c>
      <c r="G29" s="7">
        <f>SUM(G30:G31)</f>
        <v>195000</v>
      </c>
      <c r="H29" s="7">
        <v>200000</v>
      </c>
      <c r="I29" s="132" t="s">
        <v>18</v>
      </c>
      <c r="J29" s="129" t="s">
        <v>9</v>
      </c>
      <c r="K29" s="129">
        <v>100</v>
      </c>
      <c r="L29" s="129">
        <v>100</v>
      </c>
      <c r="M29" s="129">
        <v>100</v>
      </c>
    </row>
    <row r="30" spans="1:13" ht="18" customHeight="1" x14ac:dyDescent="0.25">
      <c r="A30" s="136"/>
      <c r="B30" s="165"/>
      <c r="C30" s="145"/>
      <c r="D30" s="4" t="s">
        <v>10</v>
      </c>
      <c r="E30" s="5">
        <f t="shared" si="0"/>
        <v>0</v>
      </c>
      <c r="F30" s="5">
        <v>0</v>
      </c>
      <c r="G30" s="5">
        <v>0</v>
      </c>
      <c r="H30" s="5">
        <v>0</v>
      </c>
      <c r="I30" s="133"/>
      <c r="J30" s="130"/>
      <c r="K30" s="130"/>
      <c r="L30" s="130"/>
      <c r="M30" s="130"/>
    </row>
    <row r="31" spans="1:13" ht="18" customHeight="1" x14ac:dyDescent="0.25">
      <c r="A31" s="137"/>
      <c r="B31" s="165"/>
      <c r="C31" s="145"/>
      <c r="D31" s="4" t="s">
        <v>11</v>
      </c>
      <c r="E31" s="5">
        <f t="shared" si="0"/>
        <v>575000</v>
      </c>
      <c r="F31" s="5">
        <v>180000</v>
      </c>
      <c r="G31" s="5">
        <v>195000</v>
      </c>
      <c r="H31" s="5">
        <v>200000</v>
      </c>
      <c r="I31" s="134"/>
      <c r="J31" s="131"/>
      <c r="K31" s="131"/>
      <c r="L31" s="131"/>
      <c r="M31" s="131"/>
    </row>
    <row r="32" spans="1:13" ht="21" customHeight="1" x14ac:dyDescent="0.25">
      <c r="A32" s="135" t="s">
        <v>54</v>
      </c>
      <c r="B32" s="163" t="s">
        <v>62</v>
      </c>
      <c r="C32" s="145" t="s">
        <v>103</v>
      </c>
      <c r="D32" s="3" t="s">
        <v>6</v>
      </c>
      <c r="E32" s="7">
        <f>SUM(F32:H32)</f>
        <v>2968492</v>
      </c>
      <c r="F32" s="7">
        <f>SUM(F33:F34)</f>
        <v>2652502</v>
      </c>
      <c r="G32" s="7">
        <f>SUM(G33:G34)</f>
        <v>0</v>
      </c>
      <c r="H32" s="7">
        <v>315990</v>
      </c>
      <c r="I32" s="132" t="s">
        <v>95</v>
      </c>
      <c r="J32" s="129" t="s">
        <v>9</v>
      </c>
      <c r="K32" s="129">
        <v>100</v>
      </c>
      <c r="L32" s="129">
        <v>100</v>
      </c>
      <c r="M32" s="129">
        <v>100</v>
      </c>
    </row>
    <row r="33" spans="1:13" ht="21" customHeight="1" x14ac:dyDescent="0.25">
      <c r="A33" s="136"/>
      <c r="B33" s="163"/>
      <c r="C33" s="145"/>
      <c r="D33" s="4" t="s">
        <v>10</v>
      </c>
      <c r="E33" s="5">
        <f t="shared" si="0"/>
        <v>625000</v>
      </c>
      <c r="F33" s="5">
        <f>625000</f>
        <v>625000</v>
      </c>
      <c r="G33" s="5">
        <v>0</v>
      </c>
      <c r="H33" s="5">
        <v>0</v>
      </c>
      <c r="I33" s="133"/>
      <c r="J33" s="130"/>
      <c r="K33" s="130"/>
      <c r="L33" s="130"/>
      <c r="M33" s="130"/>
    </row>
    <row r="34" spans="1:13" ht="21" customHeight="1" x14ac:dyDescent="0.25">
      <c r="A34" s="137"/>
      <c r="B34" s="163"/>
      <c r="C34" s="145"/>
      <c r="D34" s="4" t="s">
        <v>11</v>
      </c>
      <c r="E34" s="5">
        <f t="shared" si="0"/>
        <v>2343492</v>
      </c>
      <c r="F34" s="5">
        <v>2027502</v>
      </c>
      <c r="G34" s="5">
        <v>0</v>
      </c>
      <c r="H34" s="5">
        <v>315990</v>
      </c>
      <c r="I34" s="134"/>
      <c r="J34" s="131"/>
      <c r="K34" s="131"/>
      <c r="L34" s="131"/>
      <c r="M34" s="131"/>
    </row>
    <row r="35" spans="1:13" ht="21" customHeight="1" x14ac:dyDescent="0.25">
      <c r="A35" s="135" t="s">
        <v>55</v>
      </c>
      <c r="B35" s="163" t="s">
        <v>63</v>
      </c>
      <c r="C35" s="145" t="s">
        <v>75</v>
      </c>
      <c r="D35" s="3" t="s">
        <v>6</v>
      </c>
      <c r="E35" s="7">
        <f>SUM(F35:H35)</f>
        <v>735000</v>
      </c>
      <c r="F35" s="7">
        <f>SUM(F36:F37)</f>
        <v>450000</v>
      </c>
      <c r="G35" s="7">
        <f>SUM(G36:G37)</f>
        <v>0</v>
      </c>
      <c r="H35" s="7">
        <v>285000</v>
      </c>
      <c r="I35" s="132" t="s">
        <v>95</v>
      </c>
      <c r="J35" s="129" t="s">
        <v>9</v>
      </c>
      <c r="K35" s="129">
        <v>100</v>
      </c>
      <c r="L35" s="129">
        <v>100</v>
      </c>
      <c r="M35" s="129">
        <v>100</v>
      </c>
    </row>
    <row r="36" spans="1:13" ht="21" customHeight="1" x14ac:dyDescent="0.25">
      <c r="A36" s="136"/>
      <c r="B36" s="163"/>
      <c r="C36" s="145"/>
      <c r="D36" s="4" t="s">
        <v>10</v>
      </c>
      <c r="E36" s="5">
        <f t="shared" si="0"/>
        <v>0</v>
      </c>
      <c r="F36" s="5">
        <v>0</v>
      </c>
      <c r="G36" s="5">
        <v>0</v>
      </c>
      <c r="H36" s="5">
        <v>0</v>
      </c>
      <c r="I36" s="133"/>
      <c r="J36" s="130"/>
      <c r="K36" s="130"/>
      <c r="L36" s="130"/>
      <c r="M36" s="130"/>
    </row>
    <row r="37" spans="1:13" ht="21" customHeight="1" x14ac:dyDescent="0.25">
      <c r="A37" s="137"/>
      <c r="B37" s="163"/>
      <c r="C37" s="145"/>
      <c r="D37" s="4" t="s">
        <v>11</v>
      </c>
      <c r="E37" s="5">
        <f t="shared" si="0"/>
        <v>735000</v>
      </c>
      <c r="F37" s="5">
        <v>450000</v>
      </c>
      <c r="G37" s="5">
        <v>0</v>
      </c>
      <c r="H37" s="5">
        <v>285000</v>
      </c>
      <c r="I37" s="134"/>
      <c r="J37" s="131"/>
      <c r="K37" s="131"/>
      <c r="L37" s="131"/>
      <c r="M37" s="131"/>
    </row>
    <row r="38" spans="1:13" s="6" customFormat="1" ht="13.5" customHeight="1" x14ac:dyDescent="0.2">
      <c r="A38" s="117" t="s">
        <v>56</v>
      </c>
      <c r="B38" s="166" t="s">
        <v>21</v>
      </c>
      <c r="C38" s="146"/>
      <c r="D38" s="3" t="s">
        <v>6</v>
      </c>
      <c r="E38" s="7">
        <f>SUM(F38:H38)</f>
        <v>2420000</v>
      </c>
      <c r="F38" s="7">
        <f>SUM(F39:F40)</f>
        <v>520000</v>
      </c>
      <c r="G38" s="7">
        <f>SUM(G39:G40)</f>
        <v>1600000</v>
      </c>
      <c r="H38" s="7">
        <f>SUM(H39:H40)</f>
        <v>300000</v>
      </c>
      <c r="I38" s="132" t="s">
        <v>100</v>
      </c>
      <c r="J38" s="129" t="s">
        <v>9</v>
      </c>
      <c r="K38" s="129" t="s">
        <v>101</v>
      </c>
      <c r="L38" s="129" t="s">
        <v>102</v>
      </c>
      <c r="M38" s="129" t="s">
        <v>102</v>
      </c>
    </row>
    <row r="39" spans="1:13" s="6" customFormat="1" ht="13.5" customHeight="1" x14ac:dyDescent="0.2">
      <c r="A39" s="140"/>
      <c r="B39" s="166"/>
      <c r="C39" s="146"/>
      <c r="D39" s="3" t="s">
        <v>10</v>
      </c>
      <c r="E39" s="5">
        <f t="shared" si="0"/>
        <v>0</v>
      </c>
      <c r="F39" s="5">
        <f t="shared" ref="F39:H40" si="3">F42</f>
        <v>0</v>
      </c>
      <c r="G39" s="5">
        <f t="shared" si="3"/>
        <v>0</v>
      </c>
      <c r="H39" s="5">
        <f t="shared" si="3"/>
        <v>0</v>
      </c>
      <c r="I39" s="133"/>
      <c r="J39" s="130"/>
      <c r="K39" s="130"/>
      <c r="L39" s="130"/>
      <c r="M39" s="130"/>
    </row>
    <row r="40" spans="1:13" s="6" customFormat="1" ht="13.5" customHeight="1" x14ac:dyDescent="0.2">
      <c r="A40" s="141"/>
      <c r="B40" s="166"/>
      <c r="C40" s="146"/>
      <c r="D40" s="3" t="s">
        <v>11</v>
      </c>
      <c r="E40" s="5">
        <f t="shared" si="0"/>
        <v>2420000</v>
      </c>
      <c r="F40" s="5">
        <f t="shared" si="3"/>
        <v>520000</v>
      </c>
      <c r="G40" s="5">
        <f t="shared" si="3"/>
        <v>1600000</v>
      </c>
      <c r="H40" s="5">
        <f t="shared" si="3"/>
        <v>300000</v>
      </c>
      <c r="I40" s="134"/>
      <c r="J40" s="131"/>
      <c r="K40" s="131"/>
      <c r="L40" s="131"/>
      <c r="M40" s="131"/>
    </row>
    <row r="41" spans="1:13" ht="21" customHeight="1" x14ac:dyDescent="0.25">
      <c r="A41" s="135" t="s">
        <v>57</v>
      </c>
      <c r="B41" s="165" t="s">
        <v>21</v>
      </c>
      <c r="C41" s="145" t="s">
        <v>75</v>
      </c>
      <c r="D41" s="3" t="s">
        <v>6</v>
      </c>
      <c r="E41" s="7">
        <f>SUM(F41:H41)</f>
        <v>2420000</v>
      </c>
      <c r="F41" s="7">
        <f>SUM(F42:F43)</f>
        <v>520000</v>
      </c>
      <c r="G41" s="7">
        <f>SUM(G42:G43)</f>
        <v>1600000</v>
      </c>
      <c r="H41" s="7">
        <f>SUM(H42:H43)</f>
        <v>300000</v>
      </c>
      <c r="I41" s="132" t="s">
        <v>95</v>
      </c>
      <c r="J41" s="129" t="s">
        <v>9</v>
      </c>
      <c r="K41" s="129">
        <v>100</v>
      </c>
      <c r="L41" s="129">
        <v>100</v>
      </c>
      <c r="M41" s="129">
        <v>100</v>
      </c>
    </row>
    <row r="42" spans="1:13" ht="21" customHeight="1" x14ac:dyDescent="0.25">
      <c r="A42" s="136"/>
      <c r="B42" s="165"/>
      <c r="C42" s="145"/>
      <c r="D42" s="4" t="s">
        <v>10</v>
      </c>
      <c r="E42" s="5">
        <f t="shared" si="0"/>
        <v>0</v>
      </c>
      <c r="F42" s="5">
        <v>0</v>
      </c>
      <c r="G42" s="5">
        <v>0</v>
      </c>
      <c r="H42" s="5">
        <v>0</v>
      </c>
      <c r="I42" s="133"/>
      <c r="J42" s="130"/>
      <c r="K42" s="130"/>
      <c r="L42" s="130"/>
      <c r="M42" s="130"/>
    </row>
    <row r="43" spans="1:13" ht="21" customHeight="1" x14ac:dyDescent="0.25">
      <c r="A43" s="137"/>
      <c r="B43" s="165"/>
      <c r="C43" s="145"/>
      <c r="D43" s="4" t="s">
        <v>11</v>
      </c>
      <c r="E43" s="5">
        <f t="shared" si="0"/>
        <v>2420000</v>
      </c>
      <c r="F43" s="5">
        <v>520000</v>
      </c>
      <c r="G43" s="5">
        <v>1600000</v>
      </c>
      <c r="H43" s="5">
        <v>300000</v>
      </c>
      <c r="I43" s="134"/>
      <c r="J43" s="131"/>
      <c r="K43" s="131"/>
      <c r="L43" s="131"/>
      <c r="M43" s="131"/>
    </row>
    <row r="44" spans="1:13" s="6" customFormat="1" ht="29.25" customHeight="1" x14ac:dyDescent="0.2">
      <c r="A44" s="117" t="s">
        <v>58</v>
      </c>
      <c r="B44" s="164" t="s">
        <v>22</v>
      </c>
      <c r="C44" s="146"/>
      <c r="D44" s="3" t="s">
        <v>6</v>
      </c>
      <c r="E44" s="7">
        <f>SUM(F44:H44)</f>
        <v>835100</v>
      </c>
      <c r="F44" s="7">
        <f>SUM(F45:F46)</f>
        <v>0</v>
      </c>
      <c r="G44" s="7">
        <f>SUM(G45:G46)</f>
        <v>835100</v>
      </c>
      <c r="H44" s="7">
        <f>SUM(H45:H46)</f>
        <v>0</v>
      </c>
      <c r="I44" s="132" t="s">
        <v>100</v>
      </c>
      <c r="J44" s="129" t="s">
        <v>9</v>
      </c>
      <c r="K44" s="129" t="s">
        <v>101</v>
      </c>
      <c r="L44" s="129" t="s">
        <v>102</v>
      </c>
      <c r="M44" s="129" t="s">
        <v>102</v>
      </c>
    </row>
    <row r="45" spans="1:13" s="6" customFormat="1" ht="29.25" customHeight="1" x14ac:dyDescent="0.2">
      <c r="A45" s="140"/>
      <c r="B45" s="164"/>
      <c r="C45" s="146"/>
      <c r="D45" s="3" t="s">
        <v>10</v>
      </c>
      <c r="E45" s="5">
        <f t="shared" si="0"/>
        <v>535100</v>
      </c>
      <c r="F45" s="5">
        <f t="shared" ref="F45:H46" si="4">F48</f>
        <v>0</v>
      </c>
      <c r="G45" s="5">
        <f t="shared" si="4"/>
        <v>535100</v>
      </c>
      <c r="H45" s="5">
        <f t="shared" si="4"/>
        <v>0</v>
      </c>
      <c r="I45" s="133"/>
      <c r="J45" s="130"/>
      <c r="K45" s="130"/>
      <c r="L45" s="130"/>
      <c r="M45" s="130"/>
    </row>
    <row r="46" spans="1:13" s="6" customFormat="1" ht="24.75" customHeight="1" x14ac:dyDescent="0.2">
      <c r="A46" s="141"/>
      <c r="B46" s="164"/>
      <c r="C46" s="146"/>
      <c r="D46" s="3" t="s">
        <v>11</v>
      </c>
      <c r="E46" s="5">
        <f t="shared" si="0"/>
        <v>300000</v>
      </c>
      <c r="F46" s="5">
        <f t="shared" si="4"/>
        <v>0</v>
      </c>
      <c r="G46" s="5">
        <f t="shared" si="4"/>
        <v>300000</v>
      </c>
      <c r="H46" s="5">
        <f t="shared" si="4"/>
        <v>0</v>
      </c>
      <c r="I46" s="134"/>
      <c r="J46" s="131"/>
      <c r="K46" s="131"/>
      <c r="L46" s="131"/>
      <c r="M46" s="131"/>
    </row>
    <row r="47" spans="1:13" ht="21.75" customHeight="1" x14ac:dyDescent="0.25">
      <c r="A47" s="135" t="s">
        <v>59</v>
      </c>
      <c r="B47" s="163" t="s">
        <v>22</v>
      </c>
      <c r="C47" s="145" t="s">
        <v>75</v>
      </c>
      <c r="D47" s="3" t="s">
        <v>6</v>
      </c>
      <c r="E47" s="7">
        <f>SUM(F47:H47)</f>
        <v>835100</v>
      </c>
      <c r="F47" s="7">
        <f>SUM(F48:F49)</f>
        <v>0</v>
      </c>
      <c r="G47" s="7">
        <f>SUM(G48:G49)</f>
        <v>835100</v>
      </c>
      <c r="H47" s="7">
        <f>SUM(H48:H49)</f>
        <v>0</v>
      </c>
      <c r="I47" s="132" t="s">
        <v>96</v>
      </c>
      <c r="J47" s="129" t="s">
        <v>9</v>
      </c>
      <c r="K47" s="129">
        <v>0</v>
      </c>
      <c r="L47" s="129">
        <v>50</v>
      </c>
      <c r="M47" s="129">
        <v>50</v>
      </c>
    </row>
    <row r="48" spans="1:13" ht="21.75" customHeight="1" x14ac:dyDescent="0.25">
      <c r="A48" s="136"/>
      <c r="B48" s="163"/>
      <c r="C48" s="145"/>
      <c r="D48" s="4" t="s">
        <v>10</v>
      </c>
      <c r="E48" s="5">
        <f t="shared" si="0"/>
        <v>535100</v>
      </c>
      <c r="F48" s="5">
        <v>0</v>
      </c>
      <c r="G48" s="5">
        <v>535100</v>
      </c>
      <c r="H48" s="5">
        <v>0</v>
      </c>
      <c r="I48" s="133"/>
      <c r="J48" s="130"/>
      <c r="K48" s="130"/>
      <c r="L48" s="130"/>
      <c r="M48" s="130"/>
    </row>
    <row r="49" spans="1:13" ht="21.75" customHeight="1" x14ac:dyDescent="0.25">
      <c r="A49" s="137"/>
      <c r="B49" s="163"/>
      <c r="C49" s="145"/>
      <c r="D49" s="4" t="s">
        <v>11</v>
      </c>
      <c r="E49" s="5">
        <f t="shared" si="0"/>
        <v>300000</v>
      </c>
      <c r="F49" s="5">
        <v>0</v>
      </c>
      <c r="G49" s="5">
        <v>300000</v>
      </c>
      <c r="H49" s="5">
        <v>0</v>
      </c>
      <c r="I49" s="134"/>
      <c r="J49" s="131"/>
      <c r="K49" s="131"/>
      <c r="L49" s="131"/>
      <c r="M49" s="131"/>
    </row>
    <row r="50" spans="1:13" s="6" customFormat="1" ht="13.5" customHeight="1" x14ac:dyDescent="0.2">
      <c r="A50" s="147" t="s">
        <v>60</v>
      </c>
      <c r="B50" s="147"/>
      <c r="C50" s="147"/>
      <c r="D50" s="11" t="s">
        <v>6</v>
      </c>
      <c r="E50" s="7">
        <f>SUM(F50:H50)</f>
        <v>10588117</v>
      </c>
      <c r="F50" s="7">
        <f>SUM(F51:F52)</f>
        <v>5271197</v>
      </c>
      <c r="G50" s="7">
        <f>SUM(G51:G52)</f>
        <v>3415930</v>
      </c>
      <c r="H50" s="7">
        <f>SUM(H51:H52)</f>
        <v>1900990</v>
      </c>
      <c r="I50" s="132"/>
      <c r="J50" s="129"/>
      <c r="K50" s="129"/>
      <c r="L50" s="129"/>
      <c r="M50" s="129"/>
    </row>
    <row r="51" spans="1:13" s="6" customFormat="1" ht="13.5" customHeight="1" x14ac:dyDescent="0.2">
      <c r="A51" s="147"/>
      <c r="B51" s="147"/>
      <c r="C51" s="147"/>
      <c r="D51" s="11" t="s">
        <v>10</v>
      </c>
      <c r="E51" s="7">
        <f>SUM(F51:H51)</f>
        <v>1160100</v>
      </c>
      <c r="F51" s="7">
        <f t="shared" ref="F51:H52" si="5">F12+F24+F39+F45</f>
        <v>625000</v>
      </c>
      <c r="G51" s="7">
        <f t="shared" si="5"/>
        <v>535100</v>
      </c>
      <c r="H51" s="7">
        <f t="shared" si="5"/>
        <v>0</v>
      </c>
      <c r="I51" s="133"/>
      <c r="J51" s="130"/>
      <c r="K51" s="130"/>
      <c r="L51" s="130"/>
      <c r="M51" s="130"/>
    </row>
    <row r="52" spans="1:13" s="6" customFormat="1" ht="13.5" customHeight="1" x14ac:dyDescent="0.2">
      <c r="A52" s="147"/>
      <c r="B52" s="147"/>
      <c r="C52" s="147"/>
      <c r="D52" s="11" t="s">
        <v>11</v>
      </c>
      <c r="E52" s="7">
        <f>SUM(F52:H52)</f>
        <v>9428017</v>
      </c>
      <c r="F52" s="7">
        <f t="shared" si="5"/>
        <v>4646197</v>
      </c>
      <c r="G52" s="7">
        <f t="shared" si="5"/>
        <v>2880830</v>
      </c>
      <c r="H52" s="7">
        <f t="shared" si="5"/>
        <v>1900990</v>
      </c>
      <c r="I52" s="134"/>
      <c r="J52" s="131"/>
      <c r="K52" s="131"/>
      <c r="L52" s="131"/>
      <c r="M52" s="131"/>
    </row>
    <row r="53" spans="1:13" ht="15" customHeight="1" x14ac:dyDescent="0.25">
      <c r="A53" s="123" t="s">
        <v>64</v>
      </c>
      <c r="B53" s="123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0"/>
    </row>
    <row r="54" spans="1:13" s="6" customFormat="1" ht="18.75" customHeight="1" x14ac:dyDescent="0.2">
      <c r="A54" s="117" t="s">
        <v>105</v>
      </c>
      <c r="B54" s="120" t="s">
        <v>23</v>
      </c>
      <c r="C54" s="142"/>
      <c r="D54" s="3" t="s">
        <v>6</v>
      </c>
      <c r="E54" s="7">
        <f t="shared" ref="E54:E77" si="6">SUM(F54:H54)</f>
        <v>6117625</v>
      </c>
      <c r="F54" s="7">
        <f>SUM(F55:F56)</f>
        <v>806415</v>
      </c>
      <c r="G54" s="7">
        <f>SUM(G55:G56)</f>
        <v>3249400</v>
      </c>
      <c r="H54" s="7">
        <f>SUM(H55:H56)</f>
        <v>2061810</v>
      </c>
      <c r="I54" s="132" t="s">
        <v>100</v>
      </c>
      <c r="J54" s="129" t="s">
        <v>9</v>
      </c>
      <c r="K54" s="129" t="s">
        <v>101</v>
      </c>
      <c r="L54" s="129" t="s">
        <v>102</v>
      </c>
      <c r="M54" s="129" t="s">
        <v>102</v>
      </c>
    </row>
    <row r="55" spans="1:13" s="6" customFormat="1" ht="18.75" customHeight="1" x14ac:dyDescent="0.2">
      <c r="A55" s="140"/>
      <c r="B55" s="138"/>
      <c r="C55" s="143"/>
      <c r="D55" s="3" t="s">
        <v>10</v>
      </c>
      <c r="E55" s="7">
        <f t="shared" si="6"/>
        <v>1118500</v>
      </c>
      <c r="F55" s="9">
        <f t="shared" ref="F55:H56" si="7">F58+F73</f>
        <v>0</v>
      </c>
      <c r="G55" s="9">
        <f t="shared" si="7"/>
        <v>1118500</v>
      </c>
      <c r="H55" s="9">
        <f t="shared" si="7"/>
        <v>0</v>
      </c>
      <c r="I55" s="133"/>
      <c r="J55" s="130"/>
      <c r="K55" s="130"/>
      <c r="L55" s="130"/>
      <c r="M55" s="130"/>
    </row>
    <row r="56" spans="1:13" s="6" customFormat="1" ht="18.75" customHeight="1" x14ac:dyDescent="0.2">
      <c r="A56" s="141"/>
      <c r="B56" s="139"/>
      <c r="C56" s="144"/>
      <c r="D56" s="3" t="s">
        <v>11</v>
      </c>
      <c r="E56" s="7">
        <f t="shared" si="6"/>
        <v>4999125</v>
      </c>
      <c r="F56" s="9">
        <f t="shared" si="7"/>
        <v>806415</v>
      </c>
      <c r="G56" s="9">
        <f t="shared" si="7"/>
        <v>2130900</v>
      </c>
      <c r="H56" s="9">
        <f t="shared" si="7"/>
        <v>2061810</v>
      </c>
      <c r="I56" s="134"/>
      <c r="J56" s="131"/>
      <c r="K56" s="131"/>
      <c r="L56" s="131"/>
      <c r="M56" s="131"/>
    </row>
    <row r="57" spans="1:13" ht="21" customHeight="1" x14ac:dyDescent="0.25">
      <c r="A57" s="135" t="s">
        <v>106</v>
      </c>
      <c r="B57" s="132" t="s">
        <v>25</v>
      </c>
      <c r="C57" s="145" t="s">
        <v>75</v>
      </c>
      <c r="D57" s="3" t="s">
        <v>6</v>
      </c>
      <c r="E57" s="7">
        <f t="shared" si="6"/>
        <v>5537688</v>
      </c>
      <c r="F57" s="7">
        <f>SUM(F58:F59)</f>
        <v>534478</v>
      </c>
      <c r="G57" s="7">
        <f>SUM(G58:G59)</f>
        <v>3249400</v>
      </c>
      <c r="H57" s="7">
        <f>SUM(H58:H59)</f>
        <v>1753810</v>
      </c>
      <c r="I57" s="132" t="s">
        <v>24</v>
      </c>
      <c r="J57" s="129" t="s">
        <v>78</v>
      </c>
      <c r="K57" s="129">
        <v>2</v>
      </c>
      <c r="L57" s="129">
        <v>3</v>
      </c>
      <c r="M57" s="129">
        <v>4</v>
      </c>
    </row>
    <row r="58" spans="1:13" ht="21" customHeight="1" x14ac:dyDescent="0.25">
      <c r="A58" s="136"/>
      <c r="B58" s="133"/>
      <c r="C58" s="145"/>
      <c r="D58" s="4" t="s">
        <v>10</v>
      </c>
      <c r="E58" s="5">
        <f t="shared" si="6"/>
        <v>1118500</v>
      </c>
      <c r="F58" s="8">
        <f>F61+F64+F67</f>
        <v>0</v>
      </c>
      <c r="G58" s="8">
        <f>G61+G64+G67</f>
        <v>1118500</v>
      </c>
      <c r="H58" s="8">
        <f>H61+H64+H67</f>
        <v>0</v>
      </c>
      <c r="I58" s="133"/>
      <c r="J58" s="130"/>
      <c r="K58" s="130"/>
      <c r="L58" s="130"/>
      <c r="M58" s="130"/>
    </row>
    <row r="59" spans="1:13" ht="21" customHeight="1" x14ac:dyDescent="0.25">
      <c r="A59" s="137"/>
      <c r="B59" s="134"/>
      <c r="C59" s="145"/>
      <c r="D59" s="4" t="s">
        <v>11</v>
      </c>
      <c r="E59" s="5">
        <f t="shared" si="6"/>
        <v>4419188</v>
      </c>
      <c r="F59" s="8">
        <v>534478</v>
      </c>
      <c r="G59" s="8">
        <f>G62+G65+G68</f>
        <v>2130900</v>
      </c>
      <c r="H59" s="8">
        <v>1753810</v>
      </c>
      <c r="I59" s="133"/>
      <c r="J59" s="130"/>
      <c r="K59" s="130"/>
      <c r="L59" s="130"/>
      <c r="M59" s="130"/>
    </row>
    <row r="60" spans="1:13" ht="21" customHeight="1" x14ac:dyDescent="0.25">
      <c r="A60" s="135" t="s">
        <v>26</v>
      </c>
      <c r="B60" s="132" t="s">
        <v>27</v>
      </c>
      <c r="C60" s="145" t="s">
        <v>75</v>
      </c>
      <c r="D60" s="3" t="s">
        <v>6</v>
      </c>
      <c r="E60" s="7">
        <f t="shared" si="6"/>
        <v>4364950</v>
      </c>
      <c r="F60" s="7">
        <f>SUM(F61:F62)</f>
        <v>0</v>
      </c>
      <c r="G60" s="7">
        <f>SUM(G61:G62)</f>
        <v>2876500</v>
      </c>
      <c r="H60" s="7">
        <v>1488450</v>
      </c>
      <c r="I60" s="133"/>
      <c r="J60" s="130"/>
      <c r="K60" s="130"/>
      <c r="L60" s="130"/>
      <c r="M60" s="130"/>
    </row>
    <row r="61" spans="1:13" ht="21" customHeight="1" x14ac:dyDescent="0.25">
      <c r="A61" s="136"/>
      <c r="B61" s="133"/>
      <c r="C61" s="145"/>
      <c r="D61" s="4" t="s">
        <v>10</v>
      </c>
      <c r="E61" s="5">
        <f t="shared" si="6"/>
        <v>905600</v>
      </c>
      <c r="F61" s="8">
        <v>0</v>
      </c>
      <c r="G61" s="8">
        <v>905600</v>
      </c>
      <c r="H61" s="8">
        <v>0</v>
      </c>
      <c r="I61" s="133"/>
      <c r="J61" s="130"/>
      <c r="K61" s="130"/>
      <c r="L61" s="130"/>
      <c r="M61" s="130"/>
    </row>
    <row r="62" spans="1:13" ht="21" customHeight="1" x14ac:dyDescent="0.25">
      <c r="A62" s="137"/>
      <c r="B62" s="134"/>
      <c r="C62" s="145"/>
      <c r="D62" s="4" t="s">
        <v>11</v>
      </c>
      <c r="E62" s="5">
        <f t="shared" si="6"/>
        <v>3459350</v>
      </c>
      <c r="F62" s="8">
        <v>0</v>
      </c>
      <c r="G62" s="8">
        <v>1970900</v>
      </c>
      <c r="H62" s="8">
        <v>1488450</v>
      </c>
      <c r="I62" s="133"/>
      <c r="J62" s="130"/>
      <c r="K62" s="130"/>
      <c r="L62" s="130"/>
      <c r="M62" s="130"/>
    </row>
    <row r="63" spans="1:13" ht="21" customHeight="1" x14ac:dyDescent="0.25">
      <c r="A63" s="135" t="s">
        <v>28</v>
      </c>
      <c r="B63" s="132" t="s">
        <v>29</v>
      </c>
      <c r="C63" s="145" t="s">
        <v>75</v>
      </c>
      <c r="D63" s="3" t="s">
        <v>6</v>
      </c>
      <c r="E63" s="7">
        <f t="shared" si="6"/>
        <v>312900</v>
      </c>
      <c r="F63" s="7">
        <f>SUM(F64:F65)</f>
        <v>0</v>
      </c>
      <c r="G63" s="7">
        <f>SUM(G64:G65)</f>
        <v>312900</v>
      </c>
      <c r="H63" s="7">
        <v>0</v>
      </c>
      <c r="I63" s="133"/>
      <c r="J63" s="130"/>
      <c r="K63" s="130"/>
      <c r="L63" s="130"/>
      <c r="M63" s="130"/>
    </row>
    <row r="64" spans="1:13" ht="21" customHeight="1" x14ac:dyDescent="0.25">
      <c r="A64" s="136"/>
      <c r="B64" s="133"/>
      <c r="C64" s="145"/>
      <c r="D64" s="4" t="s">
        <v>10</v>
      </c>
      <c r="E64" s="5">
        <f t="shared" si="6"/>
        <v>212900</v>
      </c>
      <c r="F64" s="8">
        <v>0</v>
      </c>
      <c r="G64" s="8">
        <v>212900</v>
      </c>
      <c r="H64" s="8">
        <v>0</v>
      </c>
      <c r="I64" s="133"/>
      <c r="J64" s="130"/>
      <c r="K64" s="130"/>
      <c r="L64" s="130"/>
      <c r="M64" s="130"/>
    </row>
    <row r="65" spans="1:13" ht="21" customHeight="1" x14ac:dyDescent="0.25">
      <c r="A65" s="137"/>
      <c r="B65" s="134"/>
      <c r="C65" s="145"/>
      <c r="D65" s="4" t="s">
        <v>11</v>
      </c>
      <c r="E65" s="5">
        <f t="shared" si="6"/>
        <v>100000</v>
      </c>
      <c r="F65" s="8">
        <v>0</v>
      </c>
      <c r="G65" s="8">
        <v>100000</v>
      </c>
      <c r="H65" s="20">
        <v>0</v>
      </c>
      <c r="I65" s="133"/>
      <c r="J65" s="130"/>
      <c r="K65" s="130"/>
      <c r="L65" s="130"/>
      <c r="M65" s="130"/>
    </row>
    <row r="66" spans="1:13" ht="21" customHeight="1" x14ac:dyDescent="0.25">
      <c r="A66" s="135" t="s">
        <v>73</v>
      </c>
      <c r="B66" s="132" t="s">
        <v>65</v>
      </c>
      <c r="C66" s="145" t="s">
        <v>75</v>
      </c>
      <c r="D66" s="3" t="s">
        <v>6</v>
      </c>
      <c r="E66" s="7">
        <f t="shared" si="6"/>
        <v>325360</v>
      </c>
      <c r="F66" s="7">
        <f>SUM(F67:F68)</f>
        <v>0</v>
      </c>
      <c r="G66" s="7">
        <f>SUM(G67:G68)</f>
        <v>60000</v>
      </c>
      <c r="H66" s="7">
        <v>265360</v>
      </c>
      <c r="I66" s="133"/>
      <c r="J66" s="130"/>
      <c r="K66" s="130"/>
      <c r="L66" s="130"/>
      <c r="M66" s="130"/>
    </row>
    <row r="67" spans="1:13" ht="21" customHeight="1" x14ac:dyDescent="0.25">
      <c r="A67" s="136"/>
      <c r="B67" s="133"/>
      <c r="C67" s="145"/>
      <c r="D67" s="4" t="s">
        <v>10</v>
      </c>
      <c r="E67" s="5">
        <f t="shared" si="6"/>
        <v>0</v>
      </c>
      <c r="F67" s="8">
        <v>0</v>
      </c>
      <c r="G67" s="8">
        <v>0</v>
      </c>
      <c r="H67" s="8">
        <v>0</v>
      </c>
      <c r="I67" s="133"/>
      <c r="J67" s="130"/>
      <c r="K67" s="130"/>
      <c r="L67" s="130"/>
      <c r="M67" s="130"/>
    </row>
    <row r="68" spans="1:13" ht="21" customHeight="1" x14ac:dyDescent="0.25">
      <c r="A68" s="137"/>
      <c r="B68" s="134"/>
      <c r="C68" s="145"/>
      <c r="D68" s="4" t="s">
        <v>11</v>
      </c>
      <c r="E68" s="5">
        <f t="shared" si="6"/>
        <v>325360</v>
      </c>
      <c r="F68" s="8">
        <v>0</v>
      </c>
      <c r="G68" s="8">
        <v>60000</v>
      </c>
      <c r="H68" s="8">
        <v>265360</v>
      </c>
      <c r="I68" s="134"/>
      <c r="J68" s="131"/>
      <c r="K68" s="131"/>
      <c r="L68" s="131"/>
      <c r="M68" s="131"/>
    </row>
    <row r="69" spans="1:13" ht="21" customHeight="1" x14ac:dyDescent="0.25">
      <c r="A69" s="135" t="s">
        <v>72</v>
      </c>
      <c r="B69" s="132" t="s">
        <v>30</v>
      </c>
      <c r="C69" s="129" t="s">
        <v>75</v>
      </c>
      <c r="D69" s="3" t="s">
        <v>6</v>
      </c>
      <c r="E69" s="7">
        <v>579937</v>
      </c>
      <c r="F69" s="9">
        <v>271937</v>
      </c>
      <c r="G69" s="9">
        <v>0</v>
      </c>
      <c r="H69" s="9">
        <v>308000</v>
      </c>
      <c r="I69" s="132" t="s">
        <v>31</v>
      </c>
      <c r="J69" s="129" t="s">
        <v>9</v>
      </c>
      <c r="K69" s="129">
        <v>8.3000000000000007</v>
      </c>
      <c r="L69" s="129">
        <v>12.5</v>
      </c>
      <c r="M69" s="129">
        <v>16.600000000000001</v>
      </c>
    </row>
    <row r="70" spans="1:13" ht="21" customHeight="1" x14ac:dyDescent="0.25">
      <c r="A70" s="118"/>
      <c r="B70" s="121"/>
      <c r="C70" s="118"/>
      <c r="D70" s="4" t="s">
        <v>10</v>
      </c>
      <c r="E70" s="5">
        <v>0</v>
      </c>
      <c r="F70" s="8">
        <v>0</v>
      </c>
      <c r="G70" s="8">
        <v>0</v>
      </c>
      <c r="H70" s="8">
        <v>0</v>
      </c>
      <c r="I70" s="121"/>
      <c r="J70" s="118"/>
      <c r="K70" s="118"/>
      <c r="L70" s="118"/>
      <c r="M70" s="118"/>
    </row>
    <row r="71" spans="1:13" ht="21" customHeight="1" x14ac:dyDescent="0.25">
      <c r="A71" s="119"/>
      <c r="B71" s="122"/>
      <c r="C71" s="119"/>
      <c r="D71" s="4" t="s">
        <v>11</v>
      </c>
      <c r="E71" s="5">
        <v>579937</v>
      </c>
      <c r="F71" s="8">
        <v>271937</v>
      </c>
      <c r="G71" s="8">
        <v>0</v>
      </c>
      <c r="H71" s="8">
        <v>308000</v>
      </c>
      <c r="I71" s="121"/>
      <c r="J71" s="118"/>
      <c r="K71" s="118"/>
      <c r="L71" s="118"/>
      <c r="M71" s="118"/>
    </row>
    <row r="72" spans="1:13" ht="21" customHeight="1" x14ac:dyDescent="0.25">
      <c r="A72" s="135" t="s">
        <v>129</v>
      </c>
      <c r="B72" s="132" t="s">
        <v>27</v>
      </c>
      <c r="C72" s="145" t="s">
        <v>75</v>
      </c>
      <c r="D72" s="3" t="s">
        <v>6</v>
      </c>
      <c r="E72" s="7">
        <f t="shared" si="6"/>
        <v>579937</v>
      </c>
      <c r="F72" s="7">
        <f>SUM(F73:F74)</f>
        <v>271937</v>
      </c>
      <c r="G72" s="7">
        <f>SUM(G73:G74)</f>
        <v>0</v>
      </c>
      <c r="H72" s="7">
        <v>308000</v>
      </c>
      <c r="I72" s="121"/>
      <c r="J72" s="118"/>
      <c r="K72" s="118"/>
      <c r="L72" s="118"/>
      <c r="M72" s="118"/>
    </row>
    <row r="73" spans="1:13" ht="21" customHeight="1" x14ac:dyDescent="0.25">
      <c r="A73" s="136"/>
      <c r="B73" s="133"/>
      <c r="C73" s="145"/>
      <c r="D73" s="4" t="s">
        <v>10</v>
      </c>
      <c r="E73" s="5">
        <f t="shared" si="6"/>
        <v>0</v>
      </c>
      <c r="F73" s="8">
        <v>0</v>
      </c>
      <c r="G73" s="8">
        <v>0</v>
      </c>
      <c r="H73" s="8">
        <v>0</v>
      </c>
      <c r="I73" s="121"/>
      <c r="J73" s="118"/>
      <c r="K73" s="118"/>
      <c r="L73" s="118"/>
      <c r="M73" s="118"/>
    </row>
    <row r="74" spans="1:13" ht="21" customHeight="1" x14ac:dyDescent="0.25">
      <c r="A74" s="137"/>
      <c r="B74" s="134"/>
      <c r="C74" s="145"/>
      <c r="D74" s="4" t="s">
        <v>11</v>
      </c>
      <c r="E74" s="5">
        <f t="shared" si="6"/>
        <v>579937</v>
      </c>
      <c r="F74" s="8">
        <v>271937</v>
      </c>
      <c r="G74" s="8">
        <v>0</v>
      </c>
      <c r="H74" s="8">
        <v>308000</v>
      </c>
      <c r="I74" s="122"/>
      <c r="J74" s="119"/>
      <c r="K74" s="119"/>
      <c r="L74" s="119"/>
      <c r="M74" s="119"/>
    </row>
    <row r="75" spans="1:13" s="6" customFormat="1" ht="13.5" customHeight="1" x14ac:dyDescent="0.2">
      <c r="A75" s="147" t="s">
        <v>71</v>
      </c>
      <c r="B75" s="147"/>
      <c r="C75" s="147"/>
      <c r="D75" s="11" t="s">
        <v>6</v>
      </c>
      <c r="E75" s="7">
        <f t="shared" si="6"/>
        <v>6117625</v>
      </c>
      <c r="F75" s="7">
        <f>SUM(F76:F77)</f>
        <v>806415</v>
      </c>
      <c r="G75" s="7">
        <f>SUM(G76:G77)</f>
        <v>3249400</v>
      </c>
      <c r="H75" s="7">
        <f>SUM(H76:H77)</f>
        <v>2061810</v>
      </c>
      <c r="I75" s="132"/>
      <c r="J75" s="129"/>
      <c r="K75" s="129"/>
      <c r="L75" s="129"/>
      <c r="M75" s="129"/>
    </row>
    <row r="76" spans="1:13" s="6" customFormat="1" ht="13.5" customHeight="1" x14ac:dyDescent="0.2">
      <c r="A76" s="147"/>
      <c r="B76" s="147"/>
      <c r="C76" s="147"/>
      <c r="D76" s="11" t="s">
        <v>10</v>
      </c>
      <c r="E76" s="7">
        <f t="shared" si="6"/>
        <v>1118500</v>
      </c>
      <c r="F76" s="7">
        <f t="shared" ref="F76:H77" si="8">F55</f>
        <v>0</v>
      </c>
      <c r="G76" s="7">
        <f t="shared" si="8"/>
        <v>1118500</v>
      </c>
      <c r="H76" s="7">
        <f t="shared" si="8"/>
        <v>0</v>
      </c>
      <c r="I76" s="133"/>
      <c r="J76" s="130"/>
      <c r="K76" s="130"/>
      <c r="L76" s="130"/>
      <c r="M76" s="130"/>
    </row>
    <row r="77" spans="1:13" s="6" customFormat="1" ht="13.5" customHeight="1" x14ac:dyDescent="0.2">
      <c r="A77" s="147"/>
      <c r="B77" s="147"/>
      <c r="C77" s="147"/>
      <c r="D77" s="11" t="s">
        <v>11</v>
      </c>
      <c r="E77" s="7">
        <f t="shared" si="6"/>
        <v>4999125</v>
      </c>
      <c r="F77" s="7">
        <f t="shared" si="8"/>
        <v>806415</v>
      </c>
      <c r="G77" s="7">
        <f t="shared" si="8"/>
        <v>2130900</v>
      </c>
      <c r="H77" s="7">
        <f t="shared" si="8"/>
        <v>2061810</v>
      </c>
      <c r="I77" s="134"/>
      <c r="J77" s="131"/>
      <c r="K77" s="131"/>
      <c r="L77" s="131"/>
      <c r="M77" s="131"/>
    </row>
    <row r="78" spans="1:13" x14ac:dyDescent="0.25">
      <c r="A78" s="123" t="s">
        <v>66</v>
      </c>
      <c r="B78" s="123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0"/>
    </row>
    <row r="79" spans="1:13" s="6" customFormat="1" ht="15" customHeight="1" x14ac:dyDescent="0.2">
      <c r="A79" s="117" t="s">
        <v>107</v>
      </c>
      <c r="B79" s="120" t="s">
        <v>32</v>
      </c>
      <c r="C79" s="142"/>
      <c r="D79" s="3" t="s">
        <v>6</v>
      </c>
      <c r="E79" s="7">
        <f t="shared" ref="E79:E132" si="9">SUM(F79:H79)</f>
        <v>42976887</v>
      </c>
      <c r="F79" s="7">
        <f>SUM(F80:F81)</f>
        <v>18846257</v>
      </c>
      <c r="G79" s="7">
        <f>SUM(G80:G81)</f>
        <v>9064430</v>
      </c>
      <c r="H79" s="7">
        <f>SUM(H80:H81)</f>
        <v>15066200</v>
      </c>
      <c r="I79" s="132" t="s">
        <v>100</v>
      </c>
      <c r="J79" s="129" t="s">
        <v>9</v>
      </c>
      <c r="K79" s="129" t="s">
        <v>101</v>
      </c>
      <c r="L79" s="129" t="s">
        <v>102</v>
      </c>
      <c r="M79" s="129" t="s">
        <v>102</v>
      </c>
    </row>
    <row r="80" spans="1:13" s="6" customFormat="1" ht="15" customHeight="1" x14ac:dyDescent="0.2">
      <c r="A80" s="140"/>
      <c r="B80" s="138"/>
      <c r="C80" s="143"/>
      <c r="D80" s="11" t="s">
        <v>10</v>
      </c>
      <c r="E80" s="7">
        <f t="shared" si="9"/>
        <v>1600000</v>
      </c>
      <c r="F80" s="9">
        <f t="shared" ref="F80:H81" si="10">SUM(F83+F86+F89+F92+F95+F98+F101+F104+F107+F110+F113+F116+F119+F122+F125+F128+F131)</f>
        <v>0</v>
      </c>
      <c r="G80" s="9">
        <f t="shared" si="10"/>
        <v>1600000</v>
      </c>
      <c r="H80" s="9">
        <f t="shared" si="10"/>
        <v>0</v>
      </c>
      <c r="I80" s="133"/>
      <c r="J80" s="130"/>
      <c r="K80" s="130"/>
      <c r="L80" s="130"/>
      <c r="M80" s="130"/>
    </row>
    <row r="81" spans="1:13" s="6" customFormat="1" ht="15" customHeight="1" x14ac:dyDescent="0.2">
      <c r="A81" s="141"/>
      <c r="B81" s="139"/>
      <c r="C81" s="144"/>
      <c r="D81" s="11" t="s">
        <v>11</v>
      </c>
      <c r="E81" s="7">
        <f t="shared" si="9"/>
        <v>41376887</v>
      </c>
      <c r="F81" s="9">
        <f t="shared" si="10"/>
        <v>18846257</v>
      </c>
      <c r="G81" s="9">
        <f t="shared" si="10"/>
        <v>7464430</v>
      </c>
      <c r="H81" s="9">
        <f t="shared" si="10"/>
        <v>15066200</v>
      </c>
      <c r="I81" s="134"/>
      <c r="J81" s="131"/>
      <c r="K81" s="131"/>
      <c r="L81" s="131"/>
      <c r="M81" s="131"/>
    </row>
    <row r="82" spans="1:13" ht="21" customHeight="1" x14ac:dyDescent="0.25">
      <c r="A82" s="135" t="s">
        <v>108</v>
      </c>
      <c r="B82" s="132" t="s">
        <v>67</v>
      </c>
      <c r="C82" s="145" t="s">
        <v>75</v>
      </c>
      <c r="D82" s="3" t="s">
        <v>6</v>
      </c>
      <c r="E82" s="7">
        <f t="shared" si="9"/>
        <v>1741559.41</v>
      </c>
      <c r="F82" s="7">
        <f>SUM(F83:F84)</f>
        <v>45000</v>
      </c>
      <c r="G82" s="7">
        <f>SUM(G83:G84)</f>
        <v>304420.49</v>
      </c>
      <c r="H82" s="7">
        <v>1392138.92</v>
      </c>
      <c r="I82" s="132" t="s">
        <v>82</v>
      </c>
      <c r="J82" s="129" t="s">
        <v>9</v>
      </c>
      <c r="K82" s="129">
        <v>5</v>
      </c>
      <c r="L82" s="129">
        <v>10</v>
      </c>
      <c r="M82" s="129">
        <v>30.8</v>
      </c>
    </row>
    <row r="83" spans="1:13" ht="21" customHeight="1" x14ac:dyDescent="0.25">
      <c r="A83" s="136"/>
      <c r="B83" s="133"/>
      <c r="C83" s="145"/>
      <c r="D83" s="4" t="s">
        <v>10</v>
      </c>
      <c r="E83" s="5">
        <f t="shared" si="9"/>
        <v>0</v>
      </c>
      <c r="F83" s="8">
        <v>0</v>
      </c>
      <c r="G83" s="8">
        <v>0</v>
      </c>
      <c r="H83" s="8">
        <v>0</v>
      </c>
      <c r="I83" s="133"/>
      <c r="J83" s="130"/>
      <c r="K83" s="130"/>
      <c r="L83" s="130"/>
      <c r="M83" s="130"/>
    </row>
    <row r="84" spans="1:13" ht="21" customHeight="1" x14ac:dyDescent="0.25">
      <c r="A84" s="137"/>
      <c r="B84" s="134"/>
      <c r="C84" s="145"/>
      <c r="D84" s="4" t="s">
        <v>11</v>
      </c>
      <c r="E84" s="5">
        <f t="shared" si="9"/>
        <v>2811519.41</v>
      </c>
      <c r="F84" s="8">
        <v>45000</v>
      </c>
      <c r="G84" s="8">
        <f>304430-9.51</f>
        <v>304420.49</v>
      </c>
      <c r="H84" s="56">
        <v>2462098.92</v>
      </c>
      <c r="I84" s="134"/>
      <c r="J84" s="131"/>
      <c r="K84" s="131"/>
      <c r="L84" s="131"/>
      <c r="M84" s="131"/>
    </row>
    <row r="85" spans="1:13" ht="21" customHeight="1" x14ac:dyDescent="0.25">
      <c r="A85" s="135" t="s">
        <v>109</v>
      </c>
      <c r="B85" s="132" t="s">
        <v>68</v>
      </c>
      <c r="C85" s="145" t="s">
        <v>75</v>
      </c>
      <c r="D85" s="3" t="s">
        <v>6</v>
      </c>
      <c r="E85" s="7">
        <f t="shared" si="9"/>
        <v>2684090.86</v>
      </c>
      <c r="F85" s="7">
        <f>SUM(F86:F87)</f>
        <v>1276987</v>
      </c>
      <c r="G85" s="7">
        <f>SUM(G86:G87)</f>
        <v>1407103.8599999999</v>
      </c>
      <c r="H85" s="7">
        <f>SUM(H86:H87)</f>
        <v>0</v>
      </c>
      <c r="I85" s="132" t="s">
        <v>79</v>
      </c>
      <c r="J85" s="129" t="s">
        <v>9</v>
      </c>
      <c r="K85" s="129">
        <v>95</v>
      </c>
      <c r="L85" s="129">
        <v>98</v>
      </c>
      <c r="M85" s="129">
        <v>98</v>
      </c>
    </row>
    <row r="86" spans="1:13" ht="21" customHeight="1" x14ac:dyDescent="0.25">
      <c r="A86" s="136"/>
      <c r="B86" s="133"/>
      <c r="C86" s="145"/>
      <c r="D86" s="4" t="s">
        <v>10</v>
      </c>
      <c r="E86" s="5">
        <f t="shared" si="9"/>
        <v>711000</v>
      </c>
      <c r="F86" s="8">
        <v>0</v>
      </c>
      <c r="G86" s="12">
        <f>0+711000</f>
        <v>711000</v>
      </c>
      <c r="H86" s="8">
        <v>0</v>
      </c>
      <c r="I86" s="133"/>
      <c r="J86" s="130"/>
      <c r="K86" s="130"/>
      <c r="L86" s="130"/>
      <c r="M86" s="130"/>
    </row>
    <row r="87" spans="1:13" ht="21" customHeight="1" x14ac:dyDescent="0.25">
      <c r="A87" s="137"/>
      <c r="B87" s="134"/>
      <c r="C87" s="145"/>
      <c r="D87" s="4" t="s">
        <v>11</v>
      </c>
      <c r="E87" s="5">
        <f t="shared" si="9"/>
        <v>1973090.8599999999</v>
      </c>
      <c r="F87" s="8">
        <v>1276987</v>
      </c>
      <c r="G87" s="8">
        <f>1416620-9500-711000-16.14</f>
        <v>696103.86</v>
      </c>
      <c r="H87" s="8">
        <v>0</v>
      </c>
      <c r="I87" s="134"/>
      <c r="J87" s="131"/>
      <c r="K87" s="131"/>
      <c r="L87" s="131"/>
      <c r="M87" s="131"/>
    </row>
    <row r="88" spans="1:13" ht="21" customHeight="1" x14ac:dyDescent="0.25">
      <c r="A88" s="135" t="s">
        <v>110</v>
      </c>
      <c r="B88" s="132" t="s">
        <v>33</v>
      </c>
      <c r="C88" s="145" t="s">
        <v>75</v>
      </c>
      <c r="D88" s="3" t="s">
        <v>6</v>
      </c>
      <c r="E88" s="7">
        <f t="shared" si="9"/>
        <v>647348</v>
      </c>
      <c r="F88" s="7">
        <f>SUM(F89:F90)</f>
        <v>245550</v>
      </c>
      <c r="G88" s="7">
        <f>SUM(G89:G90)</f>
        <v>0</v>
      </c>
      <c r="H88" s="7">
        <f>SUM(H89:H90)</f>
        <v>401798</v>
      </c>
      <c r="I88" s="132" t="s">
        <v>80</v>
      </c>
      <c r="J88" s="129" t="s">
        <v>9</v>
      </c>
      <c r="K88" s="129">
        <v>85</v>
      </c>
      <c r="L88" s="129">
        <v>85</v>
      </c>
      <c r="M88" s="129">
        <v>89</v>
      </c>
    </row>
    <row r="89" spans="1:13" ht="21" customHeight="1" x14ac:dyDescent="0.25">
      <c r="A89" s="136"/>
      <c r="B89" s="133"/>
      <c r="C89" s="145"/>
      <c r="D89" s="4" t="s">
        <v>10</v>
      </c>
      <c r="E89" s="5">
        <f t="shared" si="9"/>
        <v>0</v>
      </c>
      <c r="F89" s="8">
        <v>0</v>
      </c>
      <c r="G89" s="8">
        <v>0</v>
      </c>
      <c r="H89" s="8">
        <v>0</v>
      </c>
      <c r="I89" s="133"/>
      <c r="J89" s="130"/>
      <c r="K89" s="130"/>
      <c r="L89" s="130"/>
      <c r="M89" s="130"/>
    </row>
    <row r="90" spans="1:13" ht="21" customHeight="1" x14ac:dyDescent="0.25">
      <c r="A90" s="137"/>
      <c r="B90" s="134"/>
      <c r="C90" s="145"/>
      <c r="D90" s="4" t="s">
        <v>11</v>
      </c>
      <c r="E90" s="5">
        <f t="shared" si="9"/>
        <v>647348</v>
      </c>
      <c r="F90" s="8">
        <v>245550</v>
      </c>
      <c r="G90" s="8">
        <v>0</v>
      </c>
      <c r="H90" s="56">
        <v>401798</v>
      </c>
      <c r="I90" s="134"/>
      <c r="J90" s="131"/>
      <c r="K90" s="131"/>
      <c r="L90" s="131"/>
      <c r="M90" s="131"/>
    </row>
    <row r="91" spans="1:13" ht="21" customHeight="1" x14ac:dyDescent="0.25">
      <c r="A91" s="135" t="s">
        <v>111</v>
      </c>
      <c r="B91" s="132" t="s">
        <v>34</v>
      </c>
      <c r="C91" s="145" t="s">
        <v>75</v>
      </c>
      <c r="D91" s="3" t="s">
        <v>6</v>
      </c>
      <c r="E91" s="7">
        <f t="shared" si="9"/>
        <v>1186031</v>
      </c>
      <c r="F91" s="7">
        <f>SUM(F92:F93)</f>
        <v>749581</v>
      </c>
      <c r="G91" s="7">
        <f>SUM(G92:G93)</f>
        <v>291920</v>
      </c>
      <c r="H91" s="7">
        <f>SUM(H92:H93)</f>
        <v>144530</v>
      </c>
      <c r="I91" s="132" t="s">
        <v>81</v>
      </c>
      <c r="J91" s="129" t="s">
        <v>9</v>
      </c>
      <c r="K91" s="129">
        <v>80</v>
      </c>
      <c r="L91" s="129">
        <v>85</v>
      </c>
      <c r="M91" s="129">
        <v>89</v>
      </c>
    </row>
    <row r="92" spans="1:13" ht="21" customHeight="1" x14ac:dyDescent="0.25">
      <c r="A92" s="136"/>
      <c r="B92" s="133"/>
      <c r="C92" s="145"/>
      <c r="D92" s="4" t="s">
        <v>10</v>
      </c>
      <c r="E92" s="5">
        <f t="shared" si="9"/>
        <v>0</v>
      </c>
      <c r="F92" s="8">
        <v>0</v>
      </c>
      <c r="G92" s="8">
        <v>0</v>
      </c>
      <c r="H92" s="8">
        <v>0</v>
      </c>
      <c r="I92" s="133"/>
      <c r="J92" s="130"/>
      <c r="K92" s="130"/>
      <c r="L92" s="130"/>
      <c r="M92" s="130"/>
    </row>
    <row r="93" spans="1:13" ht="21" customHeight="1" x14ac:dyDescent="0.25">
      <c r="A93" s="137"/>
      <c r="B93" s="134"/>
      <c r="C93" s="145"/>
      <c r="D93" s="4" t="s">
        <v>11</v>
      </c>
      <c r="E93" s="5">
        <f t="shared" si="9"/>
        <v>1186031</v>
      </c>
      <c r="F93" s="8">
        <v>749581</v>
      </c>
      <c r="G93" s="8">
        <f>291920</f>
        <v>291920</v>
      </c>
      <c r="H93" s="8">
        <v>144530</v>
      </c>
      <c r="I93" s="134"/>
      <c r="J93" s="131"/>
      <c r="K93" s="131"/>
      <c r="L93" s="131"/>
      <c r="M93" s="131"/>
    </row>
    <row r="94" spans="1:13" ht="21" customHeight="1" x14ac:dyDescent="0.25">
      <c r="A94" s="135" t="s">
        <v>112</v>
      </c>
      <c r="B94" s="132" t="s">
        <v>35</v>
      </c>
      <c r="C94" s="145" t="s">
        <v>75</v>
      </c>
      <c r="D94" s="3" t="s">
        <v>6</v>
      </c>
      <c r="E94" s="7">
        <f>SUM(F94:H94)</f>
        <v>16109246.52</v>
      </c>
      <c r="F94" s="7">
        <f>SUM(F95:F96)</f>
        <v>8431992</v>
      </c>
      <c r="G94" s="7">
        <f>SUM(G95:G96)</f>
        <v>3142177.2</v>
      </c>
      <c r="H94" s="7">
        <f>SUM(H95:H96)</f>
        <v>4535077.32</v>
      </c>
      <c r="I94" s="132" t="s">
        <v>83</v>
      </c>
      <c r="J94" s="129" t="s">
        <v>9</v>
      </c>
      <c r="K94" s="129">
        <v>90</v>
      </c>
      <c r="L94" s="129">
        <v>95</v>
      </c>
      <c r="M94" s="129">
        <v>95</v>
      </c>
    </row>
    <row r="95" spans="1:13" ht="21" customHeight="1" x14ac:dyDescent="0.25">
      <c r="A95" s="136"/>
      <c r="B95" s="133"/>
      <c r="C95" s="145"/>
      <c r="D95" s="4" t="s">
        <v>10</v>
      </c>
      <c r="E95" s="5">
        <f t="shared" si="9"/>
        <v>889000</v>
      </c>
      <c r="F95" s="8">
        <v>0</v>
      </c>
      <c r="G95" s="8">
        <f>0+889000</f>
        <v>889000</v>
      </c>
      <c r="H95" s="8">
        <v>0</v>
      </c>
      <c r="I95" s="133"/>
      <c r="J95" s="130"/>
      <c r="K95" s="130"/>
      <c r="L95" s="130"/>
      <c r="M95" s="130"/>
    </row>
    <row r="96" spans="1:13" ht="21" customHeight="1" x14ac:dyDescent="0.25">
      <c r="A96" s="137"/>
      <c r="B96" s="134"/>
      <c r="C96" s="145"/>
      <c r="D96" s="4" t="s">
        <v>11</v>
      </c>
      <c r="E96" s="5">
        <f t="shared" si="9"/>
        <v>15220246.52</v>
      </c>
      <c r="F96" s="8">
        <v>8431992</v>
      </c>
      <c r="G96" s="8">
        <f>3202020-889000-59842.8</f>
        <v>2253177.2000000002</v>
      </c>
      <c r="H96" s="56">
        <v>4535077.32</v>
      </c>
      <c r="I96" s="134"/>
      <c r="J96" s="131"/>
      <c r="K96" s="131"/>
      <c r="L96" s="131"/>
      <c r="M96" s="131"/>
    </row>
    <row r="97" spans="1:13" ht="21" customHeight="1" x14ac:dyDescent="0.25">
      <c r="A97" s="135" t="s">
        <v>113</v>
      </c>
      <c r="B97" s="132" t="s">
        <v>36</v>
      </c>
      <c r="C97" s="145" t="s">
        <v>75</v>
      </c>
      <c r="D97" s="3" t="s">
        <v>6</v>
      </c>
      <c r="E97" s="7">
        <f>SUM(F97:H97)</f>
        <v>3163045</v>
      </c>
      <c r="F97" s="7">
        <f>SUM(F98:F99)</f>
        <v>2676315</v>
      </c>
      <c r="G97" s="7">
        <f>SUM(G98:G99)</f>
        <v>486730</v>
      </c>
      <c r="H97" s="7">
        <f>SUM(H98:H99)</f>
        <v>0</v>
      </c>
      <c r="I97" s="132" t="s">
        <v>84</v>
      </c>
      <c r="J97" s="129" t="s">
        <v>9</v>
      </c>
      <c r="K97" s="129">
        <v>95</v>
      </c>
      <c r="L97" s="129">
        <v>95</v>
      </c>
      <c r="M97" s="129" t="s">
        <v>93</v>
      </c>
    </row>
    <row r="98" spans="1:13" ht="21" customHeight="1" x14ac:dyDescent="0.25">
      <c r="A98" s="136"/>
      <c r="B98" s="133"/>
      <c r="C98" s="145"/>
      <c r="D98" s="4" t="s">
        <v>10</v>
      </c>
      <c r="E98" s="5">
        <f t="shared" si="9"/>
        <v>0</v>
      </c>
      <c r="F98" s="8">
        <v>0</v>
      </c>
      <c r="G98" s="8">
        <v>0</v>
      </c>
      <c r="H98" s="8">
        <v>0</v>
      </c>
      <c r="I98" s="133"/>
      <c r="J98" s="130"/>
      <c r="K98" s="130"/>
      <c r="L98" s="130"/>
      <c r="M98" s="130"/>
    </row>
    <row r="99" spans="1:13" ht="21" customHeight="1" x14ac:dyDescent="0.25">
      <c r="A99" s="137"/>
      <c r="B99" s="134"/>
      <c r="C99" s="145"/>
      <c r="D99" s="4" t="s">
        <v>11</v>
      </c>
      <c r="E99" s="5">
        <f t="shared" si="9"/>
        <v>3163045</v>
      </c>
      <c r="F99" s="8">
        <v>2676315</v>
      </c>
      <c r="G99" s="8">
        <v>486730</v>
      </c>
      <c r="H99" s="8">
        <v>0</v>
      </c>
      <c r="I99" s="134"/>
      <c r="J99" s="131"/>
      <c r="K99" s="131"/>
      <c r="L99" s="131"/>
      <c r="M99" s="131"/>
    </row>
    <row r="100" spans="1:13" ht="21" customHeight="1" x14ac:dyDescent="0.25">
      <c r="A100" s="135" t="s">
        <v>114</v>
      </c>
      <c r="B100" s="132" t="s">
        <v>37</v>
      </c>
      <c r="C100" s="145" t="s">
        <v>75</v>
      </c>
      <c r="D100" s="3" t="s">
        <v>6</v>
      </c>
      <c r="E100" s="7">
        <f>SUM(F100:H100)</f>
        <v>526811</v>
      </c>
      <c r="F100" s="7">
        <f>SUM(F101:F102)</f>
        <v>379584</v>
      </c>
      <c r="G100" s="7">
        <f>SUM(G101:G102)</f>
        <v>25000</v>
      </c>
      <c r="H100" s="7">
        <f>SUM(H101:H102)</f>
        <v>122227</v>
      </c>
      <c r="I100" s="132" t="s">
        <v>85</v>
      </c>
      <c r="J100" s="129" t="s">
        <v>9</v>
      </c>
      <c r="K100" s="129">
        <v>20</v>
      </c>
      <c r="L100" s="129">
        <v>20</v>
      </c>
      <c r="M100" s="129">
        <v>24.1</v>
      </c>
    </row>
    <row r="101" spans="1:13" ht="21" customHeight="1" x14ac:dyDescent="0.25">
      <c r="A101" s="136"/>
      <c r="B101" s="133"/>
      <c r="C101" s="145"/>
      <c r="D101" s="4" t="s">
        <v>10</v>
      </c>
      <c r="E101" s="5">
        <f t="shared" si="9"/>
        <v>0</v>
      </c>
      <c r="F101" s="8">
        <v>0</v>
      </c>
      <c r="G101" s="8">
        <v>0</v>
      </c>
      <c r="H101" s="8">
        <v>0</v>
      </c>
      <c r="I101" s="133"/>
      <c r="J101" s="130"/>
      <c r="K101" s="130"/>
      <c r="L101" s="130"/>
      <c r="M101" s="130"/>
    </row>
    <row r="102" spans="1:13" ht="21" customHeight="1" x14ac:dyDescent="0.25">
      <c r="A102" s="137"/>
      <c r="B102" s="134"/>
      <c r="C102" s="145"/>
      <c r="D102" s="4" t="s">
        <v>11</v>
      </c>
      <c r="E102" s="5">
        <f t="shared" si="9"/>
        <v>526811</v>
      </c>
      <c r="F102" s="8">
        <v>379584</v>
      </c>
      <c r="G102" s="8">
        <v>25000</v>
      </c>
      <c r="H102" s="56">
        <v>122227</v>
      </c>
      <c r="I102" s="134"/>
      <c r="J102" s="131"/>
      <c r="K102" s="131"/>
      <c r="L102" s="131"/>
      <c r="M102" s="131"/>
    </row>
    <row r="103" spans="1:13" ht="21" customHeight="1" x14ac:dyDescent="0.25">
      <c r="A103" s="135" t="s">
        <v>115</v>
      </c>
      <c r="B103" s="132" t="s">
        <v>38</v>
      </c>
      <c r="C103" s="145" t="s">
        <v>75</v>
      </c>
      <c r="D103" s="3" t="s">
        <v>6</v>
      </c>
      <c r="E103" s="7">
        <f>SUM(F103:H103)</f>
        <v>737750</v>
      </c>
      <c r="F103" s="7">
        <f>SUM(F104:F105)</f>
        <v>737750</v>
      </c>
      <c r="G103" s="7">
        <f>SUM(G104:G105)</f>
        <v>0</v>
      </c>
      <c r="H103" s="7">
        <f>SUM(H104:H105)</f>
        <v>0</v>
      </c>
      <c r="I103" s="132" t="s">
        <v>86</v>
      </c>
      <c r="J103" s="129" t="s">
        <v>9</v>
      </c>
      <c r="K103" s="129">
        <v>95</v>
      </c>
      <c r="L103" s="129">
        <v>95</v>
      </c>
      <c r="M103" s="129">
        <v>95</v>
      </c>
    </row>
    <row r="104" spans="1:13" ht="21" customHeight="1" x14ac:dyDescent="0.25">
      <c r="A104" s="136"/>
      <c r="B104" s="133"/>
      <c r="C104" s="145"/>
      <c r="D104" s="4" t="s">
        <v>10</v>
      </c>
      <c r="E104" s="5">
        <f t="shared" si="9"/>
        <v>0</v>
      </c>
      <c r="F104" s="8">
        <v>0</v>
      </c>
      <c r="G104" s="8">
        <v>0</v>
      </c>
      <c r="H104" s="8">
        <v>0</v>
      </c>
      <c r="I104" s="133"/>
      <c r="J104" s="130"/>
      <c r="K104" s="130"/>
      <c r="L104" s="130"/>
      <c r="M104" s="130"/>
    </row>
    <row r="105" spans="1:13" ht="21" customHeight="1" x14ac:dyDescent="0.25">
      <c r="A105" s="137"/>
      <c r="B105" s="134"/>
      <c r="C105" s="145"/>
      <c r="D105" s="4" t="s">
        <v>11</v>
      </c>
      <c r="E105" s="5">
        <f t="shared" si="9"/>
        <v>737750</v>
      </c>
      <c r="F105" s="8">
        <v>737750</v>
      </c>
      <c r="G105" s="8">
        <v>0</v>
      </c>
      <c r="H105" s="8">
        <v>0</v>
      </c>
      <c r="I105" s="134"/>
      <c r="J105" s="131"/>
      <c r="K105" s="131"/>
      <c r="L105" s="131"/>
      <c r="M105" s="131"/>
    </row>
    <row r="106" spans="1:13" ht="21" customHeight="1" x14ac:dyDescent="0.25">
      <c r="A106" s="135" t="s">
        <v>116</v>
      </c>
      <c r="B106" s="132" t="s">
        <v>69</v>
      </c>
      <c r="C106" s="145" t="s">
        <v>75</v>
      </c>
      <c r="D106" s="3" t="s">
        <v>6</v>
      </c>
      <c r="E106" s="7">
        <f>SUM(F106:H106)</f>
        <v>518558.87</v>
      </c>
      <c r="F106" s="7">
        <f>SUM(F107:F108)</f>
        <v>80300</v>
      </c>
      <c r="G106" s="7">
        <f>SUM(G107:G108)</f>
        <v>438258.87</v>
      </c>
      <c r="H106" s="7">
        <f>SUM(H107:H108)</f>
        <v>0</v>
      </c>
      <c r="I106" s="132" t="s">
        <v>87</v>
      </c>
      <c r="J106" s="129" t="s">
        <v>9</v>
      </c>
      <c r="K106" s="129">
        <v>5</v>
      </c>
      <c r="L106" s="129">
        <v>10</v>
      </c>
      <c r="M106" s="129">
        <v>10</v>
      </c>
    </row>
    <row r="107" spans="1:13" ht="21" customHeight="1" x14ac:dyDescent="0.25">
      <c r="A107" s="136"/>
      <c r="B107" s="133"/>
      <c r="C107" s="145"/>
      <c r="D107" s="4" t="s">
        <v>10</v>
      </c>
      <c r="E107" s="5">
        <f t="shared" si="9"/>
        <v>0</v>
      </c>
      <c r="F107" s="8">
        <v>0</v>
      </c>
      <c r="G107" s="8">
        <v>0</v>
      </c>
      <c r="H107" s="8">
        <v>0</v>
      </c>
      <c r="I107" s="133"/>
      <c r="J107" s="130"/>
      <c r="K107" s="130"/>
      <c r="L107" s="130"/>
      <c r="M107" s="130"/>
    </row>
    <row r="108" spans="1:13" ht="21" customHeight="1" x14ac:dyDescent="0.25">
      <c r="A108" s="137"/>
      <c r="B108" s="134"/>
      <c r="C108" s="145"/>
      <c r="D108" s="4" t="s">
        <v>11</v>
      </c>
      <c r="E108" s="5">
        <f t="shared" si="9"/>
        <v>518558.87</v>
      </c>
      <c r="F108" s="8">
        <v>80300</v>
      </c>
      <c r="G108" s="8">
        <f>600010-161751.13</f>
        <v>438258.87</v>
      </c>
      <c r="H108" s="8">
        <v>0</v>
      </c>
      <c r="I108" s="134"/>
      <c r="J108" s="131"/>
      <c r="K108" s="131"/>
      <c r="L108" s="131"/>
      <c r="M108" s="131"/>
    </row>
    <row r="109" spans="1:13" ht="21" customHeight="1" x14ac:dyDescent="0.25">
      <c r="A109" s="135" t="s">
        <v>117</v>
      </c>
      <c r="B109" s="132" t="s">
        <v>39</v>
      </c>
      <c r="C109" s="145" t="s">
        <v>75</v>
      </c>
      <c r="D109" s="3" t="s">
        <v>6</v>
      </c>
      <c r="E109" s="7">
        <f>SUM(F109:H109)</f>
        <v>841432</v>
      </c>
      <c r="F109" s="7">
        <f>SUM(F110:F111)</f>
        <v>541432</v>
      </c>
      <c r="G109" s="7">
        <f>SUM(G110:G111)</f>
        <v>300000</v>
      </c>
      <c r="H109" s="7">
        <f>SUM(H110:H111)</f>
        <v>0</v>
      </c>
      <c r="I109" s="132" t="s">
        <v>88</v>
      </c>
      <c r="J109" s="129" t="s">
        <v>9</v>
      </c>
      <c r="K109" s="129">
        <v>55</v>
      </c>
      <c r="L109" s="129">
        <v>60</v>
      </c>
      <c r="M109" s="129">
        <v>100</v>
      </c>
    </row>
    <row r="110" spans="1:13" ht="21" customHeight="1" x14ac:dyDescent="0.25">
      <c r="A110" s="136"/>
      <c r="B110" s="133"/>
      <c r="C110" s="145"/>
      <c r="D110" s="4" t="s">
        <v>10</v>
      </c>
      <c r="E110" s="5">
        <f t="shared" si="9"/>
        <v>0</v>
      </c>
      <c r="F110" s="8">
        <v>0</v>
      </c>
      <c r="G110" s="8">
        <v>0</v>
      </c>
      <c r="H110" s="8">
        <v>0</v>
      </c>
      <c r="I110" s="133"/>
      <c r="J110" s="130"/>
      <c r="K110" s="130"/>
      <c r="L110" s="130"/>
      <c r="M110" s="130"/>
    </row>
    <row r="111" spans="1:13" ht="21" customHeight="1" x14ac:dyDescent="0.25">
      <c r="A111" s="137"/>
      <c r="B111" s="134"/>
      <c r="C111" s="145"/>
      <c r="D111" s="4" t="s">
        <v>11</v>
      </c>
      <c r="E111" s="5">
        <f t="shared" si="9"/>
        <v>841432</v>
      </c>
      <c r="F111" s="8">
        <v>541432</v>
      </c>
      <c r="G111" s="8">
        <v>300000</v>
      </c>
      <c r="H111" s="8">
        <v>0</v>
      </c>
      <c r="I111" s="134"/>
      <c r="J111" s="131"/>
      <c r="K111" s="131"/>
      <c r="L111" s="131"/>
      <c r="M111" s="131"/>
    </row>
    <row r="112" spans="1:13" ht="21" customHeight="1" x14ac:dyDescent="0.25">
      <c r="A112" s="135" t="s">
        <v>118</v>
      </c>
      <c r="B112" s="132" t="s">
        <v>40</v>
      </c>
      <c r="C112" s="145" t="s">
        <v>75</v>
      </c>
      <c r="D112" s="3" t="s">
        <v>6</v>
      </c>
      <c r="E112" s="7">
        <f>SUM(F112:H112)</f>
        <v>1848102</v>
      </c>
      <c r="F112" s="7">
        <f>SUM(F113:F114)</f>
        <v>1463200</v>
      </c>
      <c r="G112" s="7">
        <f>SUM(G113:G114)</f>
        <v>0</v>
      </c>
      <c r="H112" s="7">
        <f>SUM(H113:H114)</f>
        <v>384902</v>
      </c>
      <c r="I112" s="132" t="s">
        <v>89</v>
      </c>
      <c r="J112" s="129" t="s">
        <v>9</v>
      </c>
      <c r="K112" s="129">
        <v>95</v>
      </c>
      <c r="L112" s="129">
        <v>95</v>
      </c>
      <c r="M112" s="129">
        <v>96</v>
      </c>
    </row>
    <row r="113" spans="1:13" ht="21" customHeight="1" x14ac:dyDescent="0.25">
      <c r="A113" s="136"/>
      <c r="B113" s="133"/>
      <c r="C113" s="145"/>
      <c r="D113" s="4" t="s">
        <v>10</v>
      </c>
      <c r="E113" s="5">
        <f t="shared" si="9"/>
        <v>0</v>
      </c>
      <c r="F113" s="8">
        <v>0</v>
      </c>
      <c r="G113" s="8">
        <v>0</v>
      </c>
      <c r="H113" s="8">
        <v>0</v>
      </c>
      <c r="I113" s="133"/>
      <c r="J113" s="130"/>
      <c r="K113" s="130"/>
      <c r="L113" s="130"/>
      <c r="M113" s="130"/>
    </row>
    <row r="114" spans="1:13" ht="21" customHeight="1" x14ac:dyDescent="0.25">
      <c r="A114" s="137"/>
      <c r="B114" s="134"/>
      <c r="C114" s="145"/>
      <c r="D114" s="4" t="s">
        <v>11</v>
      </c>
      <c r="E114" s="5">
        <f t="shared" si="9"/>
        <v>1848102</v>
      </c>
      <c r="F114" s="8">
        <v>1463200</v>
      </c>
      <c r="G114" s="8">
        <v>0</v>
      </c>
      <c r="H114" s="8">
        <v>384902</v>
      </c>
      <c r="I114" s="134"/>
      <c r="J114" s="131"/>
      <c r="K114" s="131"/>
      <c r="L114" s="131"/>
      <c r="M114" s="131"/>
    </row>
    <row r="115" spans="1:13" ht="21" customHeight="1" x14ac:dyDescent="0.25">
      <c r="A115" s="135" t="s">
        <v>119</v>
      </c>
      <c r="B115" s="132" t="s">
        <v>126</v>
      </c>
      <c r="C115" s="145" t="s">
        <v>75</v>
      </c>
      <c r="D115" s="3" t="s">
        <v>6</v>
      </c>
      <c r="E115" s="7">
        <f>SUM(F115:H115)</f>
        <v>403715.4</v>
      </c>
      <c r="F115" s="7">
        <f>SUM(F116:F117)</f>
        <v>100000</v>
      </c>
      <c r="G115" s="7">
        <f>SUM(G116:G117)</f>
        <v>201050</v>
      </c>
      <c r="H115" s="7">
        <f>SUM(H116:H117)</f>
        <v>102665.4</v>
      </c>
      <c r="I115" s="132" t="s">
        <v>90</v>
      </c>
      <c r="J115" s="129" t="s">
        <v>9</v>
      </c>
      <c r="K115" s="129">
        <v>95</v>
      </c>
      <c r="L115" s="129">
        <v>97</v>
      </c>
      <c r="M115" s="129">
        <v>100</v>
      </c>
    </row>
    <row r="116" spans="1:13" ht="21" customHeight="1" x14ac:dyDescent="0.25">
      <c r="A116" s="136"/>
      <c r="B116" s="133"/>
      <c r="C116" s="145"/>
      <c r="D116" s="4" t="s">
        <v>10</v>
      </c>
      <c r="E116" s="5">
        <f t="shared" si="9"/>
        <v>0</v>
      </c>
      <c r="F116" s="8">
        <v>0</v>
      </c>
      <c r="G116" s="8">
        <v>0</v>
      </c>
      <c r="H116" s="8">
        <v>0</v>
      </c>
      <c r="I116" s="133"/>
      <c r="J116" s="130"/>
      <c r="K116" s="130"/>
      <c r="L116" s="130"/>
      <c r="M116" s="130"/>
    </row>
    <row r="117" spans="1:13" ht="21" customHeight="1" x14ac:dyDescent="0.25">
      <c r="A117" s="137"/>
      <c r="B117" s="134"/>
      <c r="C117" s="145"/>
      <c r="D117" s="4" t="s">
        <v>11</v>
      </c>
      <c r="E117" s="5">
        <f t="shared" si="9"/>
        <v>403715.4</v>
      </c>
      <c r="F117" s="8">
        <v>100000</v>
      </c>
      <c r="G117" s="8">
        <f>27000+174050</f>
        <v>201050</v>
      </c>
      <c r="H117" s="8">
        <v>102665.4</v>
      </c>
      <c r="I117" s="134"/>
      <c r="J117" s="131"/>
      <c r="K117" s="131"/>
      <c r="L117" s="131"/>
      <c r="M117" s="131"/>
    </row>
    <row r="118" spans="1:13" ht="21" customHeight="1" x14ac:dyDescent="0.25">
      <c r="A118" s="135" t="s">
        <v>120</v>
      </c>
      <c r="B118" s="132" t="s">
        <v>127</v>
      </c>
      <c r="C118" s="145" t="s">
        <v>75</v>
      </c>
      <c r="D118" s="3" t="s">
        <v>6</v>
      </c>
      <c r="E118" s="7">
        <f>SUM(F118:H118)</f>
        <v>1230505</v>
      </c>
      <c r="F118" s="7">
        <f>SUM(F119:F120)</f>
        <v>740166</v>
      </c>
      <c r="G118" s="7">
        <f>SUM(G119:G120)</f>
        <v>199999</v>
      </c>
      <c r="H118" s="7">
        <v>290340</v>
      </c>
      <c r="I118" s="132" t="s">
        <v>128</v>
      </c>
      <c r="J118" s="129" t="s">
        <v>9</v>
      </c>
      <c r="K118" s="129">
        <v>90</v>
      </c>
      <c r="L118" s="129">
        <v>95</v>
      </c>
      <c r="M118" s="129">
        <v>97</v>
      </c>
    </row>
    <row r="119" spans="1:13" ht="21" customHeight="1" x14ac:dyDescent="0.25">
      <c r="A119" s="136"/>
      <c r="B119" s="133"/>
      <c r="C119" s="145"/>
      <c r="D119" s="4" t="s">
        <v>10</v>
      </c>
      <c r="E119" s="5">
        <f t="shared" si="9"/>
        <v>0</v>
      </c>
      <c r="F119" s="8">
        <v>0</v>
      </c>
      <c r="G119" s="8">
        <v>0</v>
      </c>
      <c r="H119" s="8">
        <v>0</v>
      </c>
      <c r="I119" s="133"/>
      <c r="J119" s="130"/>
      <c r="K119" s="130"/>
      <c r="L119" s="130"/>
      <c r="M119" s="130"/>
    </row>
    <row r="120" spans="1:13" ht="21" customHeight="1" x14ac:dyDescent="0.25">
      <c r="A120" s="137"/>
      <c r="B120" s="134"/>
      <c r="C120" s="145"/>
      <c r="D120" s="4" t="s">
        <v>11</v>
      </c>
      <c r="E120" s="5">
        <f t="shared" si="9"/>
        <v>1858570</v>
      </c>
      <c r="F120" s="8">
        <v>740166</v>
      </c>
      <c r="G120" s="8">
        <f>200000-1</f>
        <v>199999</v>
      </c>
      <c r="H120" s="56">
        <v>918405</v>
      </c>
      <c r="I120" s="134"/>
      <c r="J120" s="131"/>
      <c r="K120" s="131"/>
      <c r="L120" s="131"/>
      <c r="M120" s="131"/>
    </row>
    <row r="121" spans="1:13" ht="21" customHeight="1" x14ac:dyDescent="0.25">
      <c r="A121" s="135" t="s">
        <v>121</v>
      </c>
      <c r="B121" s="132" t="s">
        <v>70</v>
      </c>
      <c r="C121" s="145" t="s">
        <v>75</v>
      </c>
      <c r="D121" s="3" t="s">
        <v>6</v>
      </c>
      <c r="E121" s="7">
        <f>SUM(F121:H121)</f>
        <v>1378400</v>
      </c>
      <c r="F121" s="7">
        <f>SUM(F122:F123)</f>
        <v>1378400</v>
      </c>
      <c r="G121" s="7">
        <f>SUM(G122:G123)</f>
        <v>0</v>
      </c>
      <c r="H121" s="7">
        <f>SUM(H122:H123)</f>
        <v>0</v>
      </c>
      <c r="I121" s="132" t="s">
        <v>91</v>
      </c>
      <c r="J121" s="129" t="s">
        <v>9</v>
      </c>
      <c r="K121" s="129">
        <v>100</v>
      </c>
      <c r="L121" s="129" t="s">
        <v>93</v>
      </c>
      <c r="M121" s="135" t="s">
        <v>93</v>
      </c>
    </row>
    <row r="122" spans="1:13" ht="21" customHeight="1" x14ac:dyDescent="0.25">
      <c r="A122" s="136"/>
      <c r="B122" s="133"/>
      <c r="C122" s="145"/>
      <c r="D122" s="4" t="s">
        <v>10</v>
      </c>
      <c r="E122" s="5">
        <f t="shared" si="9"/>
        <v>0</v>
      </c>
      <c r="F122" s="8">
        <v>0</v>
      </c>
      <c r="G122" s="8">
        <v>0</v>
      </c>
      <c r="H122" s="8">
        <v>0</v>
      </c>
      <c r="I122" s="133"/>
      <c r="J122" s="130"/>
      <c r="K122" s="130"/>
      <c r="L122" s="130"/>
      <c r="M122" s="136"/>
    </row>
    <row r="123" spans="1:13" ht="21" customHeight="1" x14ac:dyDescent="0.25">
      <c r="A123" s="137"/>
      <c r="B123" s="134"/>
      <c r="C123" s="145"/>
      <c r="D123" s="4" t="s">
        <v>11</v>
      </c>
      <c r="E123" s="5">
        <f t="shared" si="9"/>
        <v>1378400</v>
      </c>
      <c r="F123" s="8">
        <v>1378400</v>
      </c>
      <c r="G123" s="8">
        <v>0</v>
      </c>
      <c r="H123" s="8">
        <v>0</v>
      </c>
      <c r="I123" s="134"/>
      <c r="J123" s="131"/>
      <c r="K123" s="131"/>
      <c r="L123" s="131"/>
      <c r="M123" s="137"/>
    </row>
    <row r="124" spans="1:13" ht="21" customHeight="1" x14ac:dyDescent="0.25">
      <c r="A124" s="135" t="s">
        <v>122</v>
      </c>
      <c r="B124" s="132" t="s">
        <v>41</v>
      </c>
      <c r="C124" s="145" t="s">
        <v>75</v>
      </c>
      <c r="D124" s="3" t="s">
        <v>6</v>
      </c>
      <c r="E124" s="7">
        <f>SUM(F124:H124)</f>
        <v>1057561.6000000001</v>
      </c>
      <c r="F124" s="7">
        <f>SUM(F125:F126)</f>
        <v>0</v>
      </c>
      <c r="G124" s="7">
        <f>SUM(G125:G126)</f>
        <v>1057561.6000000001</v>
      </c>
      <c r="H124" s="7">
        <f>SUM(H125:H126)</f>
        <v>0</v>
      </c>
      <c r="I124" s="132" t="s">
        <v>92</v>
      </c>
      <c r="J124" s="129" t="s">
        <v>9</v>
      </c>
      <c r="K124" s="129" t="s">
        <v>93</v>
      </c>
      <c r="L124" s="129">
        <v>15</v>
      </c>
      <c r="M124" s="129">
        <v>15</v>
      </c>
    </row>
    <row r="125" spans="1:13" ht="21" customHeight="1" x14ac:dyDescent="0.25">
      <c r="A125" s="136"/>
      <c r="B125" s="133"/>
      <c r="C125" s="145"/>
      <c r="D125" s="4" t="s">
        <v>10</v>
      </c>
      <c r="E125" s="5">
        <f t="shared" si="9"/>
        <v>0</v>
      </c>
      <c r="F125" s="8">
        <v>0</v>
      </c>
      <c r="G125" s="8">
        <v>0</v>
      </c>
      <c r="H125" s="8">
        <v>0</v>
      </c>
      <c r="I125" s="133"/>
      <c r="J125" s="130"/>
      <c r="K125" s="130"/>
      <c r="L125" s="130"/>
      <c r="M125" s="130"/>
    </row>
    <row r="126" spans="1:13" ht="21" customHeight="1" x14ac:dyDescent="0.25">
      <c r="A126" s="137"/>
      <c r="B126" s="134"/>
      <c r="C126" s="145"/>
      <c r="D126" s="4" t="s">
        <v>11</v>
      </c>
      <c r="E126" s="5">
        <f t="shared" si="9"/>
        <v>1057561.6000000001</v>
      </c>
      <c r="F126" s="8">
        <v>0</v>
      </c>
      <c r="G126" s="8">
        <f>1057570-8.4</f>
        <v>1057561.6000000001</v>
      </c>
      <c r="H126" s="8">
        <v>0</v>
      </c>
      <c r="I126" s="134"/>
      <c r="J126" s="131"/>
      <c r="K126" s="131"/>
      <c r="L126" s="131"/>
      <c r="M126" s="131"/>
    </row>
    <row r="127" spans="1:13" ht="21" customHeight="1" x14ac:dyDescent="0.25">
      <c r="A127" s="135" t="s">
        <v>123</v>
      </c>
      <c r="B127" s="132" t="s">
        <v>42</v>
      </c>
      <c r="C127" s="145" t="s">
        <v>75</v>
      </c>
      <c r="D127" s="3" t="s">
        <v>6</v>
      </c>
      <c r="E127" s="7">
        <f>SUM(F127:H127)</f>
        <v>1261137.76</v>
      </c>
      <c r="F127" s="7">
        <f>SUM(F128:F129)</f>
        <v>0</v>
      </c>
      <c r="G127" s="7">
        <f>SUM(G128:G129)</f>
        <v>747416.4</v>
      </c>
      <c r="H127" s="7">
        <v>513721.36</v>
      </c>
      <c r="I127" s="132" t="s">
        <v>94</v>
      </c>
      <c r="J127" s="129" t="s">
        <v>9</v>
      </c>
      <c r="K127" s="129" t="s">
        <v>93</v>
      </c>
      <c r="L127" s="129">
        <v>20</v>
      </c>
      <c r="M127" s="129">
        <v>16.600000000000001</v>
      </c>
    </row>
    <row r="128" spans="1:13" ht="21" customHeight="1" x14ac:dyDescent="0.25">
      <c r="A128" s="136"/>
      <c r="B128" s="133"/>
      <c r="C128" s="145"/>
      <c r="D128" s="4" t="s">
        <v>10</v>
      </c>
      <c r="E128" s="5">
        <f t="shared" si="9"/>
        <v>0</v>
      </c>
      <c r="F128" s="8">
        <v>0</v>
      </c>
      <c r="G128" s="8">
        <v>0</v>
      </c>
      <c r="H128" s="8">
        <v>0</v>
      </c>
      <c r="I128" s="133"/>
      <c r="J128" s="130"/>
      <c r="K128" s="130"/>
      <c r="L128" s="130"/>
      <c r="M128" s="130"/>
    </row>
    <row r="129" spans="1:13" ht="21" customHeight="1" x14ac:dyDescent="0.25">
      <c r="A129" s="137"/>
      <c r="B129" s="134"/>
      <c r="C129" s="145"/>
      <c r="D129" s="4" t="s">
        <v>11</v>
      </c>
      <c r="E129" s="5">
        <f t="shared" si="9"/>
        <v>5830252.7600000007</v>
      </c>
      <c r="F129" s="8">
        <v>0</v>
      </c>
      <c r="G129" s="8">
        <f>707220+40196.4</f>
        <v>747416.4</v>
      </c>
      <c r="H129" s="56">
        <f>484756.36+4598080</f>
        <v>5082836.3600000003</v>
      </c>
      <c r="I129" s="134"/>
      <c r="J129" s="131"/>
      <c r="K129" s="131"/>
      <c r="L129" s="131"/>
      <c r="M129" s="131"/>
    </row>
    <row r="130" spans="1:13" ht="21" customHeight="1" x14ac:dyDescent="0.25">
      <c r="A130" s="135" t="s">
        <v>124</v>
      </c>
      <c r="B130" s="132" t="s">
        <v>43</v>
      </c>
      <c r="C130" s="145" t="s">
        <v>75</v>
      </c>
      <c r="D130" s="3" t="s">
        <v>6</v>
      </c>
      <c r="E130" s="7">
        <f>SUM(F130:H130)</f>
        <v>1374452.58</v>
      </c>
      <c r="F130" s="7">
        <f>SUM(F131:F132)</f>
        <v>0</v>
      </c>
      <c r="G130" s="7">
        <f>SUM(G131:G132)</f>
        <v>462792.57999999996</v>
      </c>
      <c r="H130" s="7">
        <f>SUM(H131:H132)</f>
        <v>911660</v>
      </c>
      <c r="I130" s="132" t="s">
        <v>97</v>
      </c>
      <c r="J130" s="129" t="s">
        <v>9</v>
      </c>
      <c r="K130" s="135" t="s">
        <v>99</v>
      </c>
      <c r="L130" s="135" t="s">
        <v>98</v>
      </c>
      <c r="M130" s="129">
        <v>4.2</v>
      </c>
    </row>
    <row r="131" spans="1:13" ht="21" customHeight="1" x14ac:dyDescent="0.25">
      <c r="A131" s="136"/>
      <c r="B131" s="133"/>
      <c r="C131" s="145"/>
      <c r="D131" s="4" t="s">
        <v>10</v>
      </c>
      <c r="E131" s="5">
        <f t="shared" si="9"/>
        <v>0</v>
      </c>
      <c r="F131" s="8">
        <v>0</v>
      </c>
      <c r="G131" s="8">
        <v>0</v>
      </c>
      <c r="H131" s="8">
        <v>0</v>
      </c>
      <c r="I131" s="133"/>
      <c r="J131" s="130"/>
      <c r="K131" s="136"/>
      <c r="L131" s="136"/>
      <c r="M131" s="130"/>
    </row>
    <row r="132" spans="1:13" ht="21" customHeight="1" x14ac:dyDescent="0.25">
      <c r="A132" s="137"/>
      <c r="B132" s="134"/>
      <c r="C132" s="145"/>
      <c r="D132" s="4" t="s">
        <v>11</v>
      </c>
      <c r="E132" s="5">
        <f t="shared" si="9"/>
        <v>1374452.58</v>
      </c>
      <c r="F132" s="8">
        <v>0</v>
      </c>
      <c r="G132" s="8">
        <f>56250+150000+256542.58</f>
        <v>462792.57999999996</v>
      </c>
      <c r="H132" s="8">
        <v>911660</v>
      </c>
      <c r="I132" s="134"/>
      <c r="J132" s="131"/>
      <c r="K132" s="137"/>
      <c r="L132" s="137"/>
      <c r="M132" s="131"/>
    </row>
    <row r="133" spans="1:13" s="6" customFormat="1" ht="13.5" customHeight="1" x14ac:dyDescent="0.2">
      <c r="A133" s="147" t="s">
        <v>74</v>
      </c>
      <c r="B133" s="147"/>
      <c r="C133" s="147"/>
      <c r="D133" s="11" t="s">
        <v>6</v>
      </c>
      <c r="E133" s="7">
        <f t="shared" ref="E133:E138" si="11">SUM(F133:H133)</f>
        <v>42976887</v>
      </c>
      <c r="F133" s="7">
        <f>SUM(F134:F135)</f>
        <v>18846257</v>
      </c>
      <c r="G133" s="7">
        <f>SUM(G134:G135)</f>
        <v>9064430</v>
      </c>
      <c r="H133" s="7">
        <f>SUM(H134:H135)</f>
        <v>15066200</v>
      </c>
      <c r="I133" s="132"/>
      <c r="J133" s="129"/>
      <c r="K133" s="129"/>
      <c r="L133" s="129"/>
      <c r="M133" s="129"/>
    </row>
    <row r="134" spans="1:13" s="6" customFormat="1" ht="13.5" customHeight="1" x14ac:dyDescent="0.2">
      <c r="A134" s="147"/>
      <c r="B134" s="147"/>
      <c r="C134" s="147"/>
      <c r="D134" s="11" t="s">
        <v>10</v>
      </c>
      <c r="E134" s="7">
        <f t="shared" si="11"/>
        <v>1600000</v>
      </c>
      <c r="F134" s="7">
        <f t="shared" ref="F134:H135" si="12">F80</f>
        <v>0</v>
      </c>
      <c r="G134" s="7">
        <f t="shared" si="12"/>
        <v>1600000</v>
      </c>
      <c r="H134" s="7">
        <f t="shared" si="12"/>
        <v>0</v>
      </c>
      <c r="I134" s="133"/>
      <c r="J134" s="130"/>
      <c r="K134" s="130"/>
      <c r="L134" s="130"/>
      <c r="M134" s="130"/>
    </row>
    <row r="135" spans="1:13" s="6" customFormat="1" ht="13.5" customHeight="1" x14ac:dyDescent="0.2">
      <c r="A135" s="147"/>
      <c r="B135" s="147"/>
      <c r="C135" s="147"/>
      <c r="D135" s="11" t="s">
        <v>11</v>
      </c>
      <c r="E135" s="7">
        <f t="shared" si="11"/>
        <v>41376887</v>
      </c>
      <c r="F135" s="7">
        <f t="shared" si="12"/>
        <v>18846257</v>
      </c>
      <c r="G135" s="7">
        <f t="shared" si="12"/>
        <v>7464430</v>
      </c>
      <c r="H135" s="7">
        <f t="shared" si="12"/>
        <v>15066200</v>
      </c>
      <c r="I135" s="134"/>
      <c r="J135" s="131"/>
      <c r="K135" s="131"/>
      <c r="L135" s="131"/>
      <c r="M135" s="131"/>
    </row>
    <row r="136" spans="1:13" s="6" customFormat="1" ht="13.5" customHeight="1" x14ac:dyDescent="0.2">
      <c r="A136" s="148" t="s">
        <v>44</v>
      </c>
      <c r="B136" s="149"/>
      <c r="C136" s="150"/>
      <c r="D136" s="11" t="s">
        <v>6</v>
      </c>
      <c r="E136" s="7">
        <f t="shared" si="11"/>
        <v>59682629</v>
      </c>
      <c r="F136" s="7">
        <f>SUM(F137:F138)</f>
        <v>24923869</v>
      </c>
      <c r="G136" s="7">
        <f>SUM(G137:G138)</f>
        <v>15729760</v>
      </c>
      <c r="H136" s="7">
        <f>SUM(H137:H138)</f>
        <v>19029000</v>
      </c>
      <c r="I136" s="132"/>
      <c r="J136" s="129"/>
      <c r="K136" s="129"/>
      <c r="L136" s="129"/>
      <c r="M136" s="129"/>
    </row>
    <row r="137" spans="1:13" s="6" customFormat="1" ht="13.5" customHeight="1" x14ac:dyDescent="0.2">
      <c r="A137" s="151"/>
      <c r="B137" s="152"/>
      <c r="C137" s="153"/>
      <c r="D137" s="11" t="s">
        <v>10</v>
      </c>
      <c r="E137" s="7">
        <f t="shared" si="11"/>
        <v>3878600</v>
      </c>
      <c r="F137" s="7">
        <f t="shared" ref="F137:H138" si="13">F51+F76+F134</f>
        <v>625000</v>
      </c>
      <c r="G137" s="7">
        <f t="shared" si="13"/>
        <v>3253600</v>
      </c>
      <c r="H137" s="7">
        <f t="shared" si="13"/>
        <v>0</v>
      </c>
      <c r="I137" s="133"/>
      <c r="J137" s="130"/>
      <c r="K137" s="130"/>
      <c r="L137" s="130"/>
      <c r="M137" s="130"/>
    </row>
    <row r="138" spans="1:13" s="6" customFormat="1" ht="13.5" customHeight="1" x14ac:dyDescent="0.2">
      <c r="A138" s="154"/>
      <c r="B138" s="155"/>
      <c r="C138" s="156"/>
      <c r="D138" s="11" t="s">
        <v>11</v>
      </c>
      <c r="E138" s="7">
        <f t="shared" si="11"/>
        <v>55804029</v>
      </c>
      <c r="F138" s="7">
        <f t="shared" si="13"/>
        <v>24298869</v>
      </c>
      <c r="G138" s="7">
        <f t="shared" si="13"/>
        <v>12476160</v>
      </c>
      <c r="H138" s="7">
        <f t="shared" si="13"/>
        <v>19029000</v>
      </c>
      <c r="I138" s="134"/>
      <c r="J138" s="131"/>
      <c r="K138" s="131"/>
      <c r="L138" s="131"/>
      <c r="M138" s="131"/>
    </row>
    <row r="142" spans="1:13" x14ac:dyDescent="0.25">
      <c r="D142" s="17"/>
      <c r="E142" s="17"/>
      <c r="F142" s="17"/>
      <c r="G142" s="17"/>
      <c r="H142" s="17"/>
    </row>
  </sheetData>
  <mergeCells count="322">
    <mergeCell ref="L136:L138"/>
    <mergeCell ref="M136:M138"/>
    <mergeCell ref="A130:A132"/>
    <mergeCell ref="B130:B132"/>
    <mergeCell ref="A136:C138"/>
    <mergeCell ref="I136:I138"/>
    <mergeCell ref="J136:J138"/>
    <mergeCell ref="K136:K138"/>
    <mergeCell ref="A133:C135"/>
    <mergeCell ref="I133:I135"/>
    <mergeCell ref="J133:J135"/>
    <mergeCell ref="K133:K135"/>
    <mergeCell ref="L133:L135"/>
    <mergeCell ref="M133:M135"/>
    <mergeCell ref="C130:C132"/>
    <mergeCell ref="I130:I132"/>
    <mergeCell ref="J130:J132"/>
    <mergeCell ref="K130:K132"/>
    <mergeCell ref="L124:L126"/>
    <mergeCell ref="M124:M126"/>
    <mergeCell ref="L127:L129"/>
    <mergeCell ref="M127:M129"/>
    <mergeCell ref="L130:L132"/>
    <mergeCell ref="M130:M132"/>
    <mergeCell ref="A127:A129"/>
    <mergeCell ref="B127:B129"/>
    <mergeCell ref="C127:C129"/>
    <mergeCell ref="I127:I129"/>
    <mergeCell ref="J127:J129"/>
    <mergeCell ref="K127:K129"/>
    <mergeCell ref="A124:A126"/>
    <mergeCell ref="B124:B126"/>
    <mergeCell ref="C124:C126"/>
    <mergeCell ref="I124:I126"/>
    <mergeCell ref="J124:J126"/>
    <mergeCell ref="K124:K126"/>
    <mergeCell ref="L118:L120"/>
    <mergeCell ref="M118:M120"/>
    <mergeCell ref="A121:A123"/>
    <mergeCell ref="B121:B123"/>
    <mergeCell ref="C121:C123"/>
    <mergeCell ref="I121:I123"/>
    <mergeCell ref="J121:J123"/>
    <mergeCell ref="K121:K123"/>
    <mergeCell ref="L121:L123"/>
    <mergeCell ref="M121:M123"/>
    <mergeCell ref="A118:A120"/>
    <mergeCell ref="B118:B120"/>
    <mergeCell ref="C118:C120"/>
    <mergeCell ref="I118:I120"/>
    <mergeCell ref="J118:J120"/>
    <mergeCell ref="K118:K120"/>
    <mergeCell ref="L112:L114"/>
    <mergeCell ref="M112:M114"/>
    <mergeCell ref="A115:A117"/>
    <mergeCell ref="B115:B117"/>
    <mergeCell ref="C115:C117"/>
    <mergeCell ref="I115:I117"/>
    <mergeCell ref="J115:J117"/>
    <mergeCell ref="K115:K117"/>
    <mergeCell ref="L115:L117"/>
    <mergeCell ref="M115:M117"/>
    <mergeCell ref="A112:A114"/>
    <mergeCell ref="B112:B114"/>
    <mergeCell ref="C112:C114"/>
    <mergeCell ref="I112:I114"/>
    <mergeCell ref="J112:J114"/>
    <mergeCell ref="K112:K114"/>
    <mergeCell ref="L106:L108"/>
    <mergeCell ref="M106:M108"/>
    <mergeCell ref="A109:A111"/>
    <mergeCell ref="B109:B111"/>
    <mergeCell ref="C109:C111"/>
    <mergeCell ref="I109:I111"/>
    <mergeCell ref="J109:J111"/>
    <mergeCell ref="K109:K111"/>
    <mergeCell ref="L109:L111"/>
    <mergeCell ref="M109:M111"/>
    <mergeCell ref="A106:A108"/>
    <mergeCell ref="B106:B108"/>
    <mergeCell ref="C106:C108"/>
    <mergeCell ref="I106:I108"/>
    <mergeCell ref="J106:J108"/>
    <mergeCell ref="K106:K108"/>
    <mergeCell ref="L100:L102"/>
    <mergeCell ref="M100:M102"/>
    <mergeCell ref="A103:A105"/>
    <mergeCell ref="B103:B105"/>
    <mergeCell ref="C103:C105"/>
    <mergeCell ref="I103:I105"/>
    <mergeCell ref="J103:J105"/>
    <mergeCell ref="K103:K105"/>
    <mergeCell ref="L103:L105"/>
    <mergeCell ref="M103:M105"/>
    <mergeCell ref="A100:A102"/>
    <mergeCell ref="B100:B102"/>
    <mergeCell ref="C100:C102"/>
    <mergeCell ref="I100:I102"/>
    <mergeCell ref="J100:J102"/>
    <mergeCell ref="K100:K102"/>
    <mergeCell ref="L94:L96"/>
    <mergeCell ref="M94:M96"/>
    <mergeCell ref="A97:A99"/>
    <mergeCell ref="B97:B99"/>
    <mergeCell ref="C97:C99"/>
    <mergeCell ref="I97:I99"/>
    <mergeCell ref="J97:J99"/>
    <mergeCell ref="K97:K99"/>
    <mergeCell ref="L97:L99"/>
    <mergeCell ref="M97:M99"/>
    <mergeCell ref="A94:A96"/>
    <mergeCell ref="B94:B96"/>
    <mergeCell ref="C94:C96"/>
    <mergeCell ref="I94:I96"/>
    <mergeCell ref="J94:J96"/>
    <mergeCell ref="K94:K96"/>
    <mergeCell ref="L88:L90"/>
    <mergeCell ref="M88:M90"/>
    <mergeCell ref="A91:A93"/>
    <mergeCell ref="B91:B93"/>
    <mergeCell ref="C91:C93"/>
    <mergeCell ref="I91:I93"/>
    <mergeCell ref="J91:J93"/>
    <mergeCell ref="K91:K93"/>
    <mergeCell ref="L91:L93"/>
    <mergeCell ref="M91:M93"/>
    <mergeCell ref="A88:A90"/>
    <mergeCell ref="B88:B90"/>
    <mergeCell ref="C88:C90"/>
    <mergeCell ref="I88:I90"/>
    <mergeCell ref="J88:J90"/>
    <mergeCell ref="K88:K90"/>
    <mergeCell ref="L82:L84"/>
    <mergeCell ref="M82:M84"/>
    <mergeCell ref="A85:A87"/>
    <mergeCell ref="B85:B87"/>
    <mergeCell ref="C85:C87"/>
    <mergeCell ref="I85:I87"/>
    <mergeCell ref="J85:J87"/>
    <mergeCell ref="K85:K87"/>
    <mergeCell ref="L85:L87"/>
    <mergeCell ref="M85:M87"/>
    <mergeCell ref="A82:A84"/>
    <mergeCell ref="B82:B84"/>
    <mergeCell ref="C82:C84"/>
    <mergeCell ref="I82:I84"/>
    <mergeCell ref="J82:J84"/>
    <mergeCell ref="K82:K84"/>
    <mergeCell ref="M75:M77"/>
    <mergeCell ref="A78:L78"/>
    <mergeCell ref="A79:A81"/>
    <mergeCell ref="B79:B81"/>
    <mergeCell ref="C79:C81"/>
    <mergeCell ref="I79:I81"/>
    <mergeCell ref="J79:J81"/>
    <mergeCell ref="K79:K81"/>
    <mergeCell ref="L79:L81"/>
    <mergeCell ref="M79:M81"/>
    <mergeCell ref="L69:L74"/>
    <mergeCell ref="M69:M74"/>
    <mergeCell ref="A72:A74"/>
    <mergeCell ref="B72:B74"/>
    <mergeCell ref="C72:C74"/>
    <mergeCell ref="A75:C77"/>
    <mergeCell ref="I75:I77"/>
    <mergeCell ref="J75:J77"/>
    <mergeCell ref="K75:K77"/>
    <mergeCell ref="L75:L77"/>
    <mergeCell ref="A69:A71"/>
    <mergeCell ref="B69:B71"/>
    <mergeCell ref="C69:C71"/>
    <mergeCell ref="I69:I74"/>
    <mergeCell ref="J69:J74"/>
    <mergeCell ref="K69:K74"/>
    <mergeCell ref="B60:B62"/>
    <mergeCell ref="C60:C62"/>
    <mergeCell ref="A63:A65"/>
    <mergeCell ref="B63:B65"/>
    <mergeCell ref="C63:C65"/>
    <mergeCell ref="A66:A68"/>
    <mergeCell ref="B66:B68"/>
    <mergeCell ref="C66:C68"/>
    <mergeCell ref="M54:M56"/>
    <mergeCell ref="A57:A59"/>
    <mergeCell ref="B57:B59"/>
    <mergeCell ref="C57:C59"/>
    <mergeCell ref="I57:I68"/>
    <mergeCell ref="J57:J68"/>
    <mergeCell ref="K57:K68"/>
    <mergeCell ref="L57:L68"/>
    <mergeCell ref="M57:M68"/>
    <mergeCell ref="A60:A62"/>
    <mergeCell ref="A53:L53"/>
    <mergeCell ref="A54:A56"/>
    <mergeCell ref="B54:B56"/>
    <mergeCell ref="C54:C56"/>
    <mergeCell ref="I54:I56"/>
    <mergeCell ref="J54:J56"/>
    <mergeCell ref="K54:K56"/>
    <mergeCell ref="L54:L56"/>
    <mergeCell ref="A50:C52"/>
    <mergeCell ref="I50:I52"/>
    <mergeCell ref="J50:J52"/>
    <mergeCell ref="K50:K52"/>
    <mergeCell ref="L50:L52"/>
    <mergeCell ref="M50:M52"/>
    <mergeCell ref="L44:L46"/>
    <mergeCell ref="M44:M46"/>
    <mergeCell ref="A47:A49"/>
    <mergeCell ref="B47:B49"/>
    <mergeCell ref="C47:C49"/>
    <mergeCell ref="I47:I49"/>
    <mergeCell ref="J47:J49"/>
    <mergeCell ref="K47:K49"/>
    <mergeCell ref="L47:L49"/>
    <mergeCell ref="M47:M49"/>
    <mergeCell ref="A44:A46"/>
    <mergeCell ref="B44:B46"/>
    <mergeCell ref="C44:C46"/>
    <mergeCell ref="I44:I46"/>
    <mergeCell ref="J44:J46"/>
    <mergeCell ref="K44:K46"/>
    <mergeCell ref="L38:L40"/>
    <mergeCell ref="M38:M40"/>
    <mergeCell ref="A41:A43"/>
    <mergeCell ref="B41:B43"/>
    <mergeCell ref="C41:C43"/>
    <mergeCell ref="I41:I43"/>
    <mergeCell ref="J41:J43"/>
    <mergeCell ref="K41:K43"/>
    <mergeCell ref="L41:L43"/>
    <mergeCell ref="M41:M43"/>
    <mergeCell ref="A38:A40"/>
    <mergeCell ref="B38:B40"/>
    <mergeCell ref="C38:C40"/>
    <mergeCell ref="I38:I40"/>
    <mergeCell ref="J38:J40"/>
    <mergeCell ref="K38:K40"/>
    <mergeCell ref="L32:L34"/>
    <mergeCell ref="M32:M34"/>
    <mergeCell ref="A35:A37"/>
    <mergeCell ref="B35:B37"/>
    <mergeCell ref="C35:C37"/>
    <mergeCell ref="I35:I37"/>
    <mergeCell ref="J35:J37"/>
    <mergeCell ref="K35:K37"/>
    <mergeCell ref="L35:L37"/>
    <mergeCell ref="M35:M37"/>
    <mergeCell ref="A32:A34"/>
    <mergeCell ref="B32:B34"/>
    <mergeCell ref="C32:C34"/>
    <mergeCell ref="I32:I34"/>
    <mergeCell ref="J32:J34"/>
    <mergeCell ref="K32:K34"/>
    <mergeCell ref="L26:L28"/>
    <mergeCell ref="M26:M28"/>
    <mergeCell ref="A29:A31"/>
    <mergeCell ref="B29:B31"/>
    <mergeCell ref="C29:C31"/>
    <mergeCell ref="I29:I31"/>
    <mergeCell ref="J29:J31"/>
    <mergeCell ref="K29:K31"/>
    <mergeCell ref="L29:L31"/>
    <mergeCell ref="M29:M31"/>
    <mergeCell ref="A26:A28"/>
    <mergeCell ref="B26:B28"/>
    <mergeCell ref="C26:C28"/>
    <mergeCell ref="I26:I28"/>
    <mergeCell ref="J26:J28"/>
    <mergeCell ref="K26:K28"/>
    <mergeCell ref="L20:L22"/>
    <mergeCell ref="M20:M22"/>
    <mergeCell ref="A23:A25"/>
    <mergeCell ref="B23:B25"/>
    <mergeCell ref="C23:C25"/>
    <mergeCell ref="I23:I25"/>
    <mergeCell ref="J23:J25"/>
    <mergeCell ref="K23:K25"/>
    <mergeCell ref="L23:L25"/>
    <mergeCell ref="M23:M25"/>
    <mergeCell ref="A20:A22"/>
    <mergeCell ref="B20:B22"/>
    <mergeCell ref="C20:C22"/>
    <mergeCell ref="I20:I22"/>
    <mergeCell ref="J20:J22"/>
    <mergeCell ref="K20:K22"/>
    <mergeCell ref="L14:L16"/>
    <mergeCell ref="M14:M16"/>
    <mergeCell ref="A17:A19"/>
    <mergeCell ref="B17:B19"/>
    <mergeCell ref="C17:C19"/>
    <mergeCell ref="I17:I19"/>
    <mergeCell ref="J17:J19"/>
    <mergeCell ref="K17:K19"/>
    <mergeCell ref="L17:L19"/>
    <mergeCell ref="M17:M19"/>
    <mergeCell ref="A14:A16"/>
    <mergeCell ref="B14:B16"/>
    <mergeCell ref="C14:C16"/>
    <mergeCell ref="I14:I16"/>
    <mergeCell ref="J14:J16"/>
    <mergeCell ref="K14:K16"/>
    <mergeCell ref="A9:M9"/>
    <mergeCell ref="B10:M10"/>
    <mergeCell ref="A11:A13"/>
    <mergeCell ref="B11:B13"/>
    <mergeCell ref="C11:C13"/>
    <mergeCell ref="I11:I13"/>
    <mergeCell ref="J11:J13"/>
    <mergeCell ref="K11:K13"/>
    <mergeCell ref="L11:L13"/>
    <mergeCell ref="M11:M13"/>
    <mergeCell ref="J1:M1"/>
    <mergeCell ref="A3:M3"/>
    <mergeCell ref="A5:A7"/>
    <mergeCell ref="B5:B7"/>
    <mergeCell ref="C5:C7"/>
    <mergeCell ref="D5:D7"/>
    <mergeCell ref="E5:H5"/>
    <mergeCell ref="I5:M6"/>
    <mergeCell ref="E6:E7"/>
    <mergeCell ref="F6:H6"/>
  </mergeCells>
  <pageMargins left="0.98425196850393704" right="0.59055118110236227" top="0.78740157480314965" bottom="0.78740157480314965" header="0.31496062992125984" footer="0.31496062992125984"/>
  <pageSetup paperSize="9" scale="27" orientation="portrait" r:id="rId1"/>
  <headerFooter differentFirst="1">
    <oddHeader>&amp;C&amp;"Times New Roman,обычный"&amp;9&amp;P</oddHeader>
  </headerFooter>
  <rowBreaks count="2" manualBreakCount="2">
    <brk id="78" max="12" man="1"/>
    <brk id="1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outlinePr summaryBelow="0" summaryRight="0"/>
    <pageSetUpPr fitToPage="1"/>
  </sheetPr>
  <dimension ref="A1:IT246"/>
  <sheetViews>
    <sheetView zoomScale="80" zoomScaleNormal="80" workbookViewId="0">
      <pane ySplit="7" topLeftCell="A8" activePane="bottomLeft" state="frozen"/>
      <selection pane="bottomLeft" activeCell="C13" sqref="C13"/>
    </sheetView>
  </sheetViews>
  <sheetFormatPr defaultRowHeight="15" outlineLevelCol="2" x14ac:dyDescent="0.25"/>
  <cols>
    <col min="1" max="1" width="4.140625" style="21" customWidth="1"/>
    <col min="2" max="2" width="41.28515625" style="21" customWidth="1"/>
    <col min="3" max="3" width="16" style="21" customWidth="1"/>
    <col min="4" max="4" width="46.85546875" style="21" customWidth="1"/>
    <col min="5" max="6" width="16.7109375" style="21" customWidth="1"/>
    <col min="7" max="7" width="20.140625" style="21" customWidth="1" outlineLevel="1"/>
    <col min="8" max="8" width="14.7109375" style="21" customWidth="1" outlineLevel="1"/>
    <col min="9" max="10" width="14.7109375" style="21" customWidth="1" outlineLevel="2"/>
    <col min="11" max="12" width="18.28515625" style="21" customWidth="1"/>
    <col min="13" max="13" width="13.85546875" style="21" bestFit="1" customWidth="1"/>
    <col min="14" max="254" width="9.140625" style="21" customWidth="1"/>
  </cols>
  <sheetData>
    <row r="1" spans="1:254" ht="15.75" x14ac:dyDescent="0.25">
      <c r="A1" s="101" t="s">
        <v>172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54" ht="3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54" ht="15" customHeight="1" x14ac:dyDescent="0.25">
      <c r="A3" s="102" t="s">
        <v>0</v>
      </c>
      <c r="B3" s="102" t="s">
        <v>46</v>
      </c>
      <c r="C3" s="102" t="s">
        <v>173</v>
      </c>
      <c r="D3" s="102" t="s">
        <v>174</v>
      </c>
      <c r="E3" s="102" t="s">
        <v>133</v>
      </c>
      <c r="F3" s="102"/>
      <c r="G3" s="102"/>
      <c r="H3" s="102"/>
      <c r="I3" s="102"/>
      <c r="J3" s="102"/>
      <c r="K3" s="102" t="s">
        <v>175</v>
      </c>
    </row>
    <row r="4" spans="1:254" ht="12.75" customHeight="1" x14ac:dyDescent="0.25">
      <c r="A4" s="102"/>
      <c r="B4" s="102"/>
      <c r="C4" s="102"/>
      <c r="D4" s="102"/>
      <c r="E4" s="102" t="s">
        <v>176</v>
      </c>
      <c r="F4" s="103" t="s">
        <v>134</v>
      </c>
      <c r="G4" s="103"/>
      <c r="H4" s="103"/>
      <c r="I4" s="103"/>
      <c r="J4" s="103"/>
      <c r="K4" s="102"/>
    </row>
    <row r="5" spans="1:254" ht="25.5" customHeight="1" x14ac:dyDescent="0.25">
      <c r="A5" s="102"/>
      <c r="B5" s="102"/>
      <c r="C5" s="102"/>
      <c r="D5" s="102"/>
      <c r="E5" s="102"/>
      <c r="F5" s="104" t="s">
        <v>177</v>
      </c>
      <c r="G5" s="103" t="s">
        <v>135</v>
      </c>
      <c r="H5" s="103" t="s">
        <v>178</v>
      </c>
      <c r="I5" s="103"/>
      <c r="J5" s="103"/>
      <c r="K5" s="10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51" customHeight="1" x14ac:dyDescent="0.25">
      <c r="A6" s="102"/>
      <c r="B6" s="102"/>
      <c r="C6" s="102"/>
      <c r="D6" s="102"/>
      <c r="E6" s="102"/>
      <c r="F6" s="104"/>
      <c r="G6" s="103"/>
      <c r="H6" s="32" t="s">
        <v>136</v>
      </c>
      <c r="I6" s="33" t="s">
        <v>137</v>
      </c>
      <c r="J6" s="33" t="s">
        <v>179</v>
      </c>
      <c r="K6" s="10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7" t="s">
        <v>138</v>
      </c>
      <c r="G7" s="23">
        <v>7</v>
      </c>
      <c r="H7" s="23" t="s">
        <v>180</v>
      </c>
      <c r="I7" s="23">
        <v>9</v>
      </c>
      <c r="J7" s="23">
        <v>10</v>
      </c>
      <c r="K7" s="46" t="s">
        <v>181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48" customFormat="1" ht="12.75" x14ac:dyDescent="0.2">
      <c r="A8" s="105" t="s">
        <v>187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48" customFormat="1" ht="25.5" x14ac:dyDescent="0.2">
      <c r="A9" s="34"/>
      <c r="B9" s="50" t="s">
        <v>61</v>
      </c>
      <c r="C9" s="49" t="s">
        <v>193</v>
      </c>
      <c r="D9" s="51" t="s">
        <v>61</v>
      </c>
      <c r="E9" s="35">
        <f>800000+183600</f>
        <v>983600</v>
      </c>
      <c r="F9" s="36">
        <f t="shared" ref="F9:F15" si="0">SUM(G9:H9)</f>
        <v>0</v>
      </c>
      <c r="G9" s="37"/>
      <c r="H9" s="37">
        <f t="shared" ref="H9:H15" si="1">SUM(I9:J9)</f>
        <v>0</v>
      </c>
      <c r="I9" s="38"/>
      <c r="J9" s="25"/>
      <c r="K9" s="26">
        <f t="shared" ref="K9:K15" si="2">SUM(E9:F9)</f>
        <v>983600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48" customFormat="1" ht="25.5" x14ac:dyDescent="0.2">
      <c r="A10" s="108"/>
      <c r="B10" s="111" t="s">
        <v>17</v>
      </c>
      <c r="C10" s="49" t="s">
        <v>192</v>
      </c>
      <c r="D10" s="24" t="s">
        <v>188</v>
      </c>
      <c r="E10" s="35">
        <v>285000</v>
      </c>
      <c r="F10" s="36">
        <f t="shared" si="0"/>
        <v>0</v>
      </c>
      <c r="G10" s="37"/>
      <c r="H10" s="37">
        <f t="shared" si="1"/>
        <v>0</v>
      </c>
      <c r="I10" s="38"/>
      <c r="J10" s="25"/>
      <c r="K10" s="26">
        <f t="shared" si="2"/>
        <v>285000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48" customFormat="1" ht="25.5" x14ac:dyDescent="0.2">
      <c r="A11" s="109"/>
      <c r="B11" s="112"/>
      <c r="C11" s="49" t="s">
        <v>169</v>
      </c>
      <c r="D11" s="24" t="s">
        <v>189</v>
      </c>
      <c r="E11" s="35">
        <v>315990</v>
      </c>
      <c r="F11" s="36">
        <f t="shared" si="0"/>
        <v>0</v>
      </c>
      <c r="G11" s="37"/>
      <c r="H11" s="37">
        <f t="shared" si="1"/>
        <v>0</v>
      </c>
      <c r="I11" s="38"/>
      <c r="J11" s="25"/>
      <c r="K11" s="26">
        <f t="shared" si="2"/>
        <v>315990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48" customFormat="1" ht="25.5" x14ac:dyDescent="0.2">
      <c r="A12" s="110"/>
      <c r="B12" s="113"/>
      <c r="C12" s="49" t="s">
        <v>194</v>
      </c>
      <c r="D12" s="24" t="s">
        <v>51</v>
      </c>
      <c r="E12" s="35">
        <v>200000</v>
      </c>
      <c r="F12" s="36">
        <f t="shared" si="0"/>
        <v>0</v>
      </c>
      <c r="G12" s="37"/>
      <c r="H12" s="37">
        <f t="shared" si="1"/>
        <v>0</v>
      </c>
      <c r="I12" s="38"/>
      <c r="J12" s="25"/>
      <c r="K12" s="26">
        <f t="shared" si="2"/>
        <v>200000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48" customFormat="1" ht="38.25" x14ac:dyDescent="0.2">
      <c r="A13" s="108"/>
      <c r="B13" s="111" t="s">
        <v>21</v>
      </c>
      <c r="C13" s="49" t="s">
        <v>156</v>
      </c>
      <c r="D13" s="24" t="s">
        <v>190</v>
      </c>
      <c r="E13" s="35">
        <v>60000</v>
      </c>
      <c r="F13" s="36">
        <f t="shared" si="0"/>
        <v>0</v>
      </c>
      <c r="G13" s="37"/>
      <c r="H13" s="37">
        <f t="shared" si="1"/>
        <v>0</v>
      </c>
      <c r="I13" s="38"/>
      <c r="J13" s="25"/>
      <c r="K13" s="26">
        <f t="shared" si="2"/>
        <v>60000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48" customFormat="1" ht="102" x14ac:dyDescent="0.2">
      <c r="A14" s="109"/>
      <c r="B14" s="112"/>
      <c r="C14" s="49" t="s">
        <v>156</v>
      </c>
      <c r="D14" s="51" t="s">
        <v>220</v>
      </c>
      <c r="E14" s="35">
        <v>60000</v>
      </c>
      <c r="F14" s="36">
        <f>SUM(G14:H14)</f>
        <v>0</v>
      </c>
      <c r="G14" s="37"/>
      <c r="H14" s="37">
        <f>SUM(I14:J14)</f>
        <v>0</v>
      </c>
      <c r="I14" s="38"/>
      <c r="J14" s="25"/>
      <c r="K14" s="26">
        <f>SUM(E14:F14)</f>
        <v>60000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48" customFormat="1" ht="51" x14ac:dyDescent="0.2">
      <c r="A15" s="110"/>
      <c r="B15" s="113"/>
      <c r="C15" s="49" t="s">
        <v>158</v>
      </c>
      <c r="D15" s="24" t="s">
        <v>191</v>
      </c>
      <c r="E15" s="35">
        <v>240000</v>
      </c>
      <c r="F15" s="36">
        <f t="shared" si="0"/>
        <v>0</v>
      </c>
      <c r="G15" s="37"/>
      <c r="H15" s="37">
        <f t="shared" si="1"/>
        <v>0</v>
      </c>
      <c r="I15" s="38"/>
      <c r="J15" s="25"/>
      <c r="K15" s="26">
        <f t="shared" si="2"/>
        <v>240000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48" customFormat="1" ht="12.75" x14ac:dyDescent="0.2">
      <c r="A16" s="107" t="s">
        <v>195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26">
        <f>SUM(K9:K15)</f>
        <v>2144590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48" customFormat="1" ht="12.75" x14ac:dyDescent="0.2">
      <c r="A17" s="105" t="s">
        <v>64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48" customFormat="1" ht="25.5" x14ac:dyDescent="0.2">
      <c r="A18" s="108"/>
      <c r="B18" s="111" t="s">
        <v>25</v>
      </c>
      <c r="C18" s="49" t="s">
        <v>154</v>
      </c>
      <c r="D18" s="24" t="s">
        <v>197</v>
      </c>
      <c r="E18" s="35"/>
      <c r="F18" s="36">
        <f>SUM(G18:H18)</f>
        <v>1488448.79</v>
      </c>
      <c r="G18" s="37">
        <v>1488448.79</v>
      </c>
      <c r="H18" s="37">
        <f>SUM(I18:J18)</f>
        <v>0</v>
      </c>
      <c r="I18" s="38"/>
      <c r="J18" s="25"/>
      <c r="K18" s="26">
        <f>SUM(E18:F18)+1.21</f>
        <v>1488450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48" customFormat="1" ht="38.25" x14ac:dyDescent="0.2">
      <c r="A19" s="109"/>
      <c r="B19" s="112"/>
      <c r="C19" s="49" t="s">
        <v>142</v>
      </c>
      <c r="D19" s="24" t="s">
        <v>144</v>
      </c>
      <c r="E19" s="35"/>
      <c r="F19" s="36">
        <f>SUM(G19:H19)</f>
        <v>106200</v>
      </c>
      <c r="G19" s="37">
        <v>106200</v>
      </c>
      <c r="H19" s="37">
        <f>SUM(I19:J19)</f>
        <v>0</v>
      </c>
      <c r="I19" s="38"/>
      <c r="J19" s="25"/>
      <c r="K19" s="26">
        <f>SUM(E19:F19)</f>
        <v>106200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48" customFormat="1" ht="25.5" x14ac:dyDescent="0.2">
      <c r="A20" s="110"/>
      <c r="B20" s="113"/>
      <c r="C20" s="49" t="s">
        <v>145</v>
      </c>
      <c r="D20" s="24" t="s">
        <v>147</v>
      </c>
      <c r="E20" s="35"/>
      <c r="F20" s="36">
        <f>SUM(G20:H20)</f>
        <v>159153</v>
      </c>
      <c r="G20" s="37">
        <v>159153</v>
      </c>
      <c r="H20" s="37">
        <f>SUM(I20:J20)</f>
        <v>0</v>
      </c>
      <c r="I20" s="38"/>
      <c r="J20" s="25"/>
      <c r="K20" s="26">
        <f>SUM(E20:F20)+7</f>
        <v>159160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48" customFormat="1" ht="63.75" x14ac:dyDescent="0.2">
      <c r="A21" s="34"/>
      <c r="B21" s="50" t="s">
        <v>30</v>
      </c>
      <c r="C21" s="49" t="s">
        <v>139</v>
      </c>
      <c r="D21" s="24" t="s">
        <v>196</v>
      </c>
      <c r="E21" s="35">
        <v>308000</v>
      </c>
      <c r="F21" s="36">
        <f>SUM(G21:H21)</f>
        <v>0</v>
      </c>
      <c r="G21" s="37"/>
      <c r="H21" s="37">
        <f>SUM(I21:J21)</f>
        <v>0</v>
      </c>
      <c r="I21" s="38"/>
      <c r="J21" s="25"/>
      <c r="K21" s="26">
        <f>SUM(E21:F21)</f>
        <v>308000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48" customFormat="1" ht="12.75" x14ac:dyDescent="0.2">
      <c r="A22" s="107" t="s">
        <v>198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26">
        <f>SUM(K18:K21)</f>
        <v>2061810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48" customFormat="1" ht="12.75" x14ac:dyDescent="0.2">
      <c r="A23" s="105" t="s">
        <v>182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48" customFormat="1" ht="25.5" x14ac:dyDescent="0.2">
      <c r="A24" s="108"/>
      <c r="B24" s="111" t="s">
        <v>67</v>
      </c>
      <c r="C24" s="49" t="s">
        <v>139</v>
      </c>
      <c r="D24" s="24" t="s">
        <v>140</v>
      </c>
      <c r="E24" s="35"/>
      <c r="F24" s="36">
        <f t="shared" ref="F24:F46" si="3">SUM(G24:H24)</f>
        <v>111999</v>
      </c>
      <c r="G24" s="37"/>
      <c r="H24" s="37">
        <f>SUM(I24:J24)</f>
        <v>111999</v>
      </c>
      <c r="I24" s="38">
        <v>111999</v>
      </c>
      <c r="J24" s="25"/>
      <c r="K24" s="26">
        <f>SUM(E24:F24)+1</f>
        <v>112000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48" customFormat="1" ht="25.5" x14ac:dyDescent="0.2">
      <c r="A25" s="109"/>
      <c r="B25" s="112"/>
      <c r="C25" s="49" t="s">
        <v>141</v>
      </c>
      <c r="D25" s="24" t="s">
        <v>140</v>
      </c>
      <c r="E25" s="35"/>
      <c r="F25" s="36">
        <f t="shared" si="3"/>
        <v>376413</v>
      </c>
      <c r="G25" s="37"/>
      <c r="H25" s="37">
        <f t="shared" ref="H25:H79" si="4">SUM(I25:J25)</f>
        <v>376413</v>
      </c>
      <c r="I25" s="38">
        <v>376413</v>
      </c>
      <c r="J25" s="25"/>
      <c r="K25" s="26">
        <f t="shared" ref="K25:K79" si="5">SUM(E25:F25)</f>
        <v>376413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48" customFormat="1" ht="25.5" x14ac:dyDescent="0.2">
      <c r="A26" s="109"/>
      <c r="B26" s="112"/>
      <c r="C26" s="49" t="s">
        <v>150</v>
      </c>
      <c r="D26" s="24" t="s">
        <v>140</v>
      </c>
      <c r="E26" s="35"/>
      <c r="F26" s="36">
        <f t="shared" si="3"/>
        <v>317008</v>
      </c>
      <c r="G26" s="37"/>
      <c r="H26" s="37">
        <f t="shared" si="4"/>
        <v>317008</v>
      </c>
      <c r="I26" s="38">
        <v>317008</v>
      </c>
      <c r="J26" s="25"/>
      <c r="K26" s="26">
        <f t="shared" si="5"/>
        <v>317008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48" customFormat="1" ht="25.5" x14ac:dyDescent="0.2">
      <c r="A27" s="109"/>
      <c r="B27" s="112"/>
      <c r="C27" s="49" t="s">
        <v>156</v>
      </c>
      <c r="D27" s="24" t="s">
        <v>140</v>
      </c>
      <c r="E27" s="35"/>
      <c r="F27" s="36">
        <f t="shared" si="3"/>
        <v>249528</v>
      </c>
      <c r="G27" s="37"/>
      <c r="H27" s="37">
        <f t="shared" si="4"/>
        <v>249528</v>
      </c>
      <c r="I27" s="38">
        <v>249528</v>
      </c>
      <c r="J27" s="25"/>
      <c r="K27" s="26">
        <f t="shared" si="5"/>
        <v>249528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48" customFormat="1" ht="25.5" x14ac:dyDescent="0.2">
      <c r="A28" s="109"/>
      <c r="B28" s="112"/>
      <c r="C28" s="49" t="s">
        <v>164</v>
      </c>
      <c r="D28" s="24" t="s">
        <v>140</v>
      </c>
      <c r="E28" s="35"/>
      <c r="F28" s="36">
        <f t="shared" si="3"/>
        <v>78313</v>
      </c>
      <c r="G28" s="37"/>
      <c r="H28" s="37">
        <f t="shared" si="4"/>
        <v>78313</v>
      </c>
      <c r="I28" s="38">
        <v>78313</v>
      </c>
      <c r="J28" s="25"/>
      <c r="K28" s="26">
        <f t="shared" si="5"/>
        <v>78313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48" customFormat="1" ht="25.5" x14ac:dyDescent="0.2">
      <c r="A29" s="109"/>
      <c r="B29" s="112"/>
      <c r="C29" s="49" t="s">
        <v>164</v>
      </c>
      <c r="D29" s="24" t="s">
        <v>140</v>
      </c>
      <c r="E29" s="35"/>
      <c r="F29" s="36">
        <f t="shared" si="3"/>
        <v>25686</v>
      </c>
      <c r="G29" s="37"/>
      <c r="H29" s="37">
        <f t="shared" si="4"/>
        <v>25686</v>
      </c>
      <c r="I29" s="38">
        <v>25686</v>
      </c>
      <c r="J29" s="25"/>
      <c r="K29" s="26">
        <f t="shared" si="5"/>
        <v>25686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48" customFormat="1" ht="25.5" x14ac:dyDescent="0.2">
      <c r="A30" s="109"/>
      <c r="B30" s="112"/>
      <c r="C30" s="49" t="s">
        <v>167</v>
      </c>
      <c r="D30" s="24" t="s">
        <v>168</v>
      </c>
      <c r="E30" s="35"/>
      <c r="F30" s="36">
        <f t="shared" si="3"/>
        <v>160410.92000000001</v>
      </c>
      <c r="G30" s="37">
        <v>160410.92000000001</v>
      </c>
      <c r="H30" s="37">
        <f t="shared" si="4"/>
        <v>0</v>
      </c>
      <c r="I30" s="41"/>
      <c r="J30" s="43"/>
      <c r="K30" s="26">
        <f>SUM(E30:F30)</f>
        <v>160410.92000000001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48" customFormat="1" ht="25.5" x14ac:dyDescent="0.2">
      <c r="A31" s="109"/>
      <c r="B31" s="112"/>
      <c r="C31" s="49" t="s">
        <v>164</v>
      </c>
      <c r="D31" s="24" t="s">
        <v>166</v>
      </c>
      <c r="E31" s="35"/>
      <c r="F31" s="36">
        <f t="shared" si="3"/>
        <v>72780</v>
      </c>
      <c r="G31" s="37"/>
      <c r="H31" s="37">
        <f t="shared" si="4"/>
        <v>72780</v>
      </c>
      <c r="I31" s="38">
        <v>72780</v>
      </c>
      <c r="J31" s="25"/>
      <c r="K31" s="26">
        <f t="shared" si="5"/>
        <v>72780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48" customFormat="1" ht="12.75" x14ac:dyDescent="0.2">
      <c r="A32" s="109"/>
      <c r="B32" s="112"/>
      <c r="C32" s="49" t="s">
        <v>215</v>
      </c>
      <c r="D32" s="24" t="s">
        <v>211</v>
      </c>
      <c r="E32" s="35"/>
      <c r="F32" s="36">
        <f t="shared" si="3"/>
        <v>1024330</v>
      </c>
      <c r="G32" s="37">
        <v>1024330</v>
      </c>
      <c r="H32" s="37">
        <f t="shared" si="4"/>
        <v>0</v>
      </c>
      <c r="I32" s="38"/>
      <c r="J32" s="25"/>
      <c r="K32" s="26">
        <f t="shared" si="5"/>
        <v>1024330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48" customFormat="1" ht="25.5" x14ac:dyDescent="0.2">
      <c r="A33" s="109"/>
      <c r="B33" s="112"/>
      <c r="C33" s="49" t="s">
        <v>167</v>
      </c>
      <c r="D33" s="24" t="s">
        <v>209</v>
      </c>
      <c r="E33" s="35">
        <v>45630</v>
      </c>
      <c r="F33" s="36">
        <f>SUM(G33:H33)</f>
        <v>0</v>
      </c>
      <c r="G33" s="37"/>
      <c r="H33" s="37">
        <f>SUM(I33:J33)</f>
        <v>0</v>
      </c>
      <c r="I33" s="38"/>
      <c r="J33" s="25"/>
      <c r="K33" s="26">
        <f>SUM(E33:F33)</f>
        <v>45630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48" customFormat="1" ht="25.5" x14ac:dyDescent="0.2">
      <c r="A34" s="110"/>
      <c r="B34" s="113"/>
      <c r="C34" s="49"/>
      <c r="D34" s="51" t="s">
        <v>219</v>
      </c>
      <c r="E34" s="35"/>
      <c r="F34" s="36">
        <f t="shared" si="3"/>
        <v>1148000</v>
      </c>
      <c r="G34" s="37"/>
      <c r="H34" s="37">
        <f t="shared" si="4"/>
        <v>1148000</v>
      </c>
      <c r="I34" s="38">
        <v>1148000</v>
      </c>
      <c r="J34" s="25"/>
      <c r="K34" s="26">
        <f t="shared" si="5"/>
        <v>1148000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48" customFormat="1" ht="25.5" x14ac:dyDescent="0.2">
      <c r="A35" s="34"/>
      <c r="B35" s="50" t="s">
        <v>68</v>
      </c>
      <c r="C35" s="49"/>
      <c r="D35" s="34" t="s">
        <v>186</v>
      </c>
      <c r="E35" s="35"/>
      <c r="F35" s="36">
        <f t="shared" si="3"/>
        <v>0</v>
      </c>
      <c r="G35" s="37"/>
      <c r="H35" s="37">
        <f t="shared" si="4"/>
        <v>0</v>
      </c>
      <c r="I35" s="38"/>
      <c r="J35" s="25"/>
      <c r="K35" s="26">
        <f t="shared" si="5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48" customFormat="1" ht="38.25" x14ac:dyDescent="0.2">
      <c r="A36" s="108"/>
      <c r="B36" s="111" t="s">
        <v>33</v>
      </c>
      <c r="C36" s="49" t="s">
        <v>158</v>
      </c>
      <c r="D36" s="24" t="s">
        <v>163</v>
      </c>
      <c r="E36" s="35"/>
      <c r="F36" s="36">
        <f t="shared" si="3"/>
        <v>98728</v>
      </c>
      <c r="G36" s="37"/>
      <c r="H36" s="37">
        <f t="shared" si="4"/>
        <v>98728</v>
      </c>
      <c r="I36" s="38">
        <v>98728</v>
      </c>
      <c r="J36" s="43"/>
      <c r="K36" s="26">
        <f t="shared" si="5"/>
        <v>98728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48" customFormat="1" ht="38.25" x14ac:dyDescent="0.2">
      <c r="A37" s="110"/>
      <c r="B37" s="113"/>
      <c r="C37" s="49" t="s">
        <v>158</v>
      </c>
      <c r="D37" s="24" t="s">
        <v>205</v>
      </c>
      <c r="E37" s="35">
        <v>303070</v>
      </c>
      <c r="F37" s="36">
        <f t="shared" si="3"/>
        <v>0</v>
      </c>
      <c r="G37" s="37"/>
      <c r="H37" s="37">
        <f t="shared" si="4"/>
        <v>0</v>
      </c>
      <c r="I37" s="38"/>
      <c r="J37" s="43"/>
      <c r="K37" s="26">
        <f t="shared" si="5"/>
        <v>303070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48" customFormat="1" ht="51" x14ac:dyDescent="0.2">
      <c r="A38" s="34"/>
      <c r="B38" s="50" t="s">
        <v>34</v>
      </c>
      <c r="C38" s="49" t="s">
        <v>158</v>
      </c>
      <c r="D38" s="24" t="s">
        <v>160</v>
      </c>
      <c r="E38" s="35"/>
      <c r="F38" s="36">
        <f t="shared" si="3"/>
        <v>144530</v>
      </c>
      <c r="G38" s="37"/>
      <c r="H38" s="37">
        <f t="shared" si="4"/>
        <v>144530</v>
      </c>
      <c r="I38" s="38">
        <v>144530</v>
      </c>
      <c r="J38" s="25"/>
      <c r="K38" s="26">
        <f t="shared" si="5"/>
        <v>144530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48" customFormat="1" ht="12.75" customHeight="1" x14ac:dyDescent="0.2">
      <c r="A39" s="108"/>
      <c r="B39" s="111" t="s">
        <v>35</v>
      </c>
      <c r="C39" s="49" t="s">
        <v>156</v>
      </c>
      <c r="D39" s="28" t="s">
        <v>157</v>
      </c>
      <c r="E39" s="39"/>
      <c r="F39" s="36">
        <f t="shared" si="3"/>
        <v>1430173</v>
      </c>
      <c r="G39" s="40">
        <v>1430173</v>
      </c>
      <c r="H39" s="37">
        <f t="shared" si="4"/>
        <v>0</v>
      </c>
      <c r="I39" s="41"/>
      <c r="J39" s="42"/>
      <c r="K39" s="26">
        <f>SUM(E39:F39)+4.83</f>
        <v>1430177.83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48" customFormat="1" ht="12.75" x14ac:dyDescent="0.2">
      <c r="A40" s="109"/>
      <c r="B40" s="112"/>
      <c r="C40" s="49" t="s">
        <v>142</v>
      </c>
      <c r="D40" s="24" t="s">
        <v>143</v>
      </c>
      <c r="E40" s="35"/>
      <c r="F40" s="36">
        <f t="shared" si="3"/>
        <v>240652.41</v>
      </c>
      <c r="G40" s="37">
        <v>240652.41</v>
      </c>
      <c r="H40" s="37">
        <f t="shared" si="4"/>
        <v>0</v>
      </c>
      <c r="I40" s="41"/>
      <c r="J40" s="25"/>
      <c r="K40" s="26">
        <f t="shared" si="5"/>
        <v>240652.41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48" customFormat="1" ht="51" x14ac:dyDescent="0.2">
      <c r="A41" s="109"/>
      <c r="B41" s="112"/>
      <c r="C41" s="49" t="s">
        <v>158</v>
      </c>
      <c r="D41" s="24" t="s">
        <v>161</v>
      </c>
      <c r="E41" s="35"/>
      <c r="F41" s="36">
        <f t="shared" si="3"/>
        <v>74966</v>
      </c>
      <c r="G41" s="37"/>
      <c r="H41" s="37">
        <f t="shared" si="4"/>
        <v>74966</v>
      </c>
      <c r="I41" s="38">
        <v>74966</v>
      </c>
      <c r="J41" s="25"/>
      <c r="K41" s="26">
        <f t="shared" si="5"/>
        <v>74966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48" customFormat="1" ht="51" x14ac:dyDescent="0.2">
      <c r="A42" s="109"/>
      <c r="B42" s="112"/>
      <c r="C42" s="49" t="s">
        <v>158</v>
      </c>
      <c r="D42" s="24" t="s">
        <v>162</v>
      </c>
      <c r="E42" s="35"/>
      <c r="F42" s="36">
        <f t="shared" si="3"/>
        <v>155942.07999999999</v>
      </c>
      <c r="G42" s="37">
        <v>155942.07999999999</v>
      </c>
      <c r="H42" s="37">
        <f t="shared" si="4"/>
        <v>0</v>
      </c>
      <c r="I42" s="41"/>
      <c r="J42" s="43"/>
      <c r="K42" s="26">
        <f t="shared" si="5"/>
        <v>155942.07999999999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48" customFormat="1" ht="38.25" x14ac:dyDescent="0.2">
      <c r="A43" s="109"/>
      <c r="B43" s="112"/>
      <c r="C43" s="49" t="s">
        <v>154</v>
      </c>
      <c r="D43" s="24" t="s">
        <v>155</v>
      </c>
      <c r="E43" s="35"/>
      <c r="F43" s="36">
        <f t="shared" si="3"/>
        <v>509585</v>
      </c>
      <c r="G43" s="37"/>
      <c r="H43" s="37">
        <f t="shared" si="4"/>
        <v>509585</v>
      </c>
      <c r="I43" s="38">
        <v>509585</v>
      </c>
      <c r="J43" s="25"/>
      <c r="K43" s="26">
        <f t="shared" si="5"/>
        <v>509585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48" customFormat="1" ht="38.25" x14ac:dyDescent="0.2">
      <c r="A44" s="109"/>
      <c r="B44" s="112"/>
      <c r="C44" s="49" t="s">
        <v>169</v>
      </c>
      <c r="D44" s="24" t="s">
        <v>170</v>
      </c>
      <c r="E44" s="35"/>
      <c r="F44" s="36">
        <f t="shared" si="3"/>
        <v>1029567.64</v>
      </c>
      <c r="G44" s="37">
        <v>1029567.64</v>
      </c>
      <c r="H44" s="37">
        <f t="shared" si="4"/>
        <v>0</v>
      </c>
      <c r="I44" s="38"/>
      <c r="J44" s="43"/>
      <c r="K44" s="26">
        <f t="shared" si="5"/>
        <v>1029567.64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48" customFormat="1" ht="38.25" x14ac:dyDescent="0.2">
      <c r="A45" s="109"/>
      <c r="B45" s="112"/>
      <c r="C45" s="49" t="s">
        <v>169</v>
      </c>
      <c r="D45" s="24" t="s">
        <v>171</v>
      </c>
      <c r="E45" s="35"/>
      <c r="F45" s="36">
        <f t="shared" si="3"/>
        <v>737196.36</v>
      </c>
      <c r="G45" s="37">
        <v>737196.36</v>
      </c>
      <c r="H45" s="37">
        <f t="shared" si="4"/>
        <v>0</v>
      </c>
      <c r="I45" s="38"/>
      <c r="J45" s="43"/>
      <c r="K45" s="26">
        <f t="shared" si="5"/>
        <v>737196.36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48" customFormat="1" ht="25.5" x14ac:dyDescent="0.2">
      <c r="A46" s="109"/>
      <c r="B46" s="112"/>
      <c r="C46" s="49" t="s">
        <v>210</v>
      </c>
      <c r="D46" s="24" t="s">
        <v>203</v>
      </c>
      <c r="E46" s="35">
        <v>102000</v>
      </c>
      <c r="F46" s="36">
        <f t="shared" si="3"/>
        <v>0</v>
      </c>
      <c r="G46" s="37"/>
      <c r="H46" s="37">
        <f t="shared" si="4"/>
        <v>0</v>
      </c>
      <c r="I46" s="38"/>
      <c r="J46" s="43"/>
      <c r="K46" s="26">
        <f t="shared" si="5"/>
        <v>102000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48" customFormat="1" ht="25.5" x14ac:dyDescent="0.2">
      <c r="A47" s="109"/>
      <c r="B47" s="112"/>
      <c r="C47" s="49" t="s">
        <v>167</v>
      </c>
      <c r="D47" s="24" t="s">
        <v>208</v>
      </c>
      <c r="E47" s="35">
        <v>48400</v>
      </c>
      <c r="F47" s="36">
        <f>SUM(G47:H47)</f>
        <v>0</v>
      </c>
      <c r="G47" s="37"/>
      <c r="H47" s="37">
        <f t="shared" si="4"/>
        <v>0</v>
      </c>
      <c r="I47" s="38"/>
      <c r="J47" s="43"/>
      <c r="K47" s="26">
        <f t="shared" si="5"/>
        <v>48400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48" customFormat="1" ht="38.25" x14ac:dyDescent="0.2">
      <c r="A48" s="109"/>
      <c r="B48" s="112"/>
      <c r="C48" s="49" t="s">
        <v>214</v>
      </c>
      <c r="D48" s="24" t="s">
        <v>212</v>
      </c>
      <c r="E48" s="35"/>
      <c r="F48" s="36">
        <f t="shared" ref="F48:F79" si="6">SUM(G48:H48)</f>
        <v>74590</v>
      </c>
      <c r="G48" s="38">
        <v>74590</v>
      </c>
      <c r="H48" s="37">
        <f t="shared" si="4"/>
        <v>0</v>
      </c>
      <c r="I48" s="38"/>
      <c r="J48" s="43"/>
      <c r="K48" s="26">
        <f t="shared" si="5"/>
        <v>74590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48" customFormat="1" ht="25.5" x14ac:dyDescent="0.2">
      <c r="A49" s="109"/>
      <c r="B49" s="112"/>
      <c r="C49" s="49" t="s">
        <v>167</v>
      </c>
      <c r="D49" s="24" t="s">
        <v>213</v>
      </c>
      <c r="E49" s="35"/>
      <c r="F49" s="36">
        <f t="shared" ref="F49:F54" si="7">SUM(G49:H49)</f>
        <v>132000</v>
      </c>
      <c r="G49" s="37"/>
      <c r="H49" s="37">
        <f t="shared" ref="H49:H54" si="8">SUM(I49:J49)</f>
        <v>132000</v>
      </c>
      <c r="I49" s="38">
        <v>132000</v>
      </c>
      <c r="J49" s="43"/>
      <c r="K49" s="26">
        <f t="shared" ref="K49:K54" si="9">SUM(E49:F49)</f>
        <v>132000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48" customFormat="1" ht="25.5" x14ac:dyDescent="0.2">
      <c r="A50" s="109"/>
      <c r="B50" s="112"/>
      <c r="C50" s="49"/>
      <c r="D50" s="51" t="s">
        <v>223</v>
      </c>
      <c r="E50" s="35">
        <v>288790</v>
      </c>
      <c r="F50" s="36">
        <f t="shared" si="7"/>
        <v>0</v>
      </c>
      <c r="G50" s="37"/>
      <c r="H50" s="37">
        <f t="shared" si="8"/>
        <v>0</v>
      </c>
      <c r="I50" s="38"/>
      <c r="J50" s="43"/>
      <c r="K50" s="26">
        <f t="shared" si="9"/>
        <v>288790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48" customFormat="1" ht="51" x14ac:dyDescent="0.2">
      <c r="A51" s="109"/>
      <c r="B51" s="112"/>
      <c r="C51" s="49"/>
      <c r="D51" s="51" t="s">
        <v>224</v>
      </c>
      <c r="E51" s="35">
        <v>30000</v>
      </c>
      <c r="F51" s="36">
        <f t="shared" si="7"/>
        <v>0</v>
      </c>
      <c r="G51" s="37"/>
      <c r="H51" s="37">
        <f t="shared" si="8"/>
        <v>0</v>
      </c>
      <c r="I51" s="38"/>
      <c r="J51" s="43"/>
      <c r="K51" s="26">
        <f t="shared" si="9"/>
        <v>30000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48" customFormat="1" ht="25.5" x14ac:dyDescent="0.2">
      <c r="A52" s="109"/>
      <c r="B52" s="112"/>
      <c r="C52" s="49"/>
      <c r="D52" s="51" t="s">
        <v>226</v>
      </c>
      <c r="E52" s="35">
        <v>3098320</v>
      </c>
      <c r="F52" s="36">
        <f t="shared" si="7"/>
        <v>0</v>
      </c>
      <c r="G52" s="37"/>
      <c r="H52" s="37">
        <f t="shared" si="8"/>
        <v>0</v>
      </c>
      <c r="I52" s="38"/>
      <c r="J52" s="43"/>
      <c r="K52" s="26">
        <f t="shared" si="9"/>
        <v>3098320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48" customFormat="1" ht="12.75" x14ac:dyDescent="0.2">
      <c r="A53" s="109"/>
      <c r="B53" s="112"/>
      <c r="C53" s="49"/>
      <c r="D53" s="51" t="s">
        <v>216</v>
      </c>
      <c r="E53" s="35"/>
      <c r="F53" s="36">
        <f t="shared" si="7"/>
        <v>19110</v>
      </c>
      <c r="G53" s="37">
        <v>19110</v>
      </c>
      <c r="H53" s="37">
        <f t="shared" si="8"/>
        <v>0</v>
      </c>
      <c r="I53" s="38"/>
      <c r="J53" s="43"/>
      <c r="K53" s="26">
        <f t="shared" si="9"/>
        <v>19110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48" customFormat="1" ht="12.75" x14ac:dyDescent="0.2">
      <c r="A54" s="109"/>
      <c r="B54" s="112"/>
      <c r="C54" s="49"/>
      <c r="D54" s="51" t="s">
        <v>217</v>
      </c>
      <c r="E54" s="35"/>
      <c r="F54" s="36">
        <f t="shared" si="7"/>
        <v>418320</v>
      </c>
      <c r="G54" s="37">
        <v>418320</v>
      </c>
      <c r="H54" s="37">
        <f t="shared" si="8"/>
        <v>0</v>
      </c>
      <c r="I54" s="38"/>
      <c r="J54" s="43"/>
      <c r="K54" s="26">
        <f t="shared" si="9"/>
        <v>418320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48" customFormat="1" ht="12.75" x14ac:dyDescent="0.2">
      <c r="A55" s="110"/>
      <c r="B55" s="113"/>
      <c r="C55" s="49"/>
      <c r="D55" s="51" t="s">
        <v>218</v>
      </c>
      <c r="E55" s="35"/>
      <c r="F55" s="36">
        <f t="shared" si="6"/>
        <v>497800</v>
      </c>
      <c r="G55" s="37">
        <v>497800</v>
      </c>
      <c r="H55" s="37">
        <f t="shared" si="4"/>
        <v>0</v>
      </c>
      <c r="I55" s="38"/>
      <c r="J55" s="43"/>
      <c r="K55" s="26">
        <f t="shared" si="5"/>
        <v>497800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48" customFormat="1" ht="12.75" x14ac:dyDescent="0.2">
      <c r="A56" s="34"/>
      <c r="B56" s="50" t="s">
        <v>36</v>
      </c>
      <c r="C56" s="49"/>
      <c r="D56" s="34" t="s">
        <v>186</v>
      </c>
      <c r="E56" s="35"/>
      <c r="F56" s="36">
        <f t="shared" si="6"/>
        <v>0</v>
      </c>
      <c r="G56" s="37"/>
      <c r="H56" s="37">
        <f t="shared" si="4"/>
        <v>0</v>
      </c>
      <c r="I56" s="38"/>
      <c r="J56" s="25"/>
      <c r="K56" s="26">
        <f t="shared" si="5"/>
        <v>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48" customFormat="1" ht="25.5" customHeight="1" x14ac:dyDescent="0.2">
      <c r="A57" s="34"/>
      <c r="B57" s="111" t="s">
        <v>37</v>
      </c>
      <c r="C57" s="49" t="s">
        <v>151</v>
      </c>
      <c r="D57" s="28" t="s">
        <v>153</v>
      </c>
      <c r="E57" s="39"/>
      <c r="F57" s="36">
        <f t="shared" si="6"/>
        <v>93257</v>
      </c>
      <c r="G57" s="40"/>
      <c r="H57" s="37">
        <f t="shared" si="4"/>
        <v>93257</v>
      </c>
      <c r="I57" s="41">
        <v>93257</v>
      </c>
      <c r="J57" s="25"/>
      <c r="K57" s="26">
        <f t="shared" si="5"/>
        <v>93257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48" customFormat="1" ht="25.5" x14ac:dyDescent="0.2">
      <c r="A58" s="34"/>
      <c r="B58" s="113"/>
      <c r="C58" s="49" t="s">
        <v>145</v>
      </c>
      <c r="D58" s="28" t="s">
        <v>202</v>
      </c>
      <c r="E58" s="39">
        <v>28970</v>
      </c>
      <c r="F58" s="36">
        <f t="shared" si="6"/>
        <v>0</v>
      </c>
      <c r="G58" s="40"/>
      <c r="H58" s="37">
        <f t="shared" si="4"/>
        <v>0</v>
      </c>
      <c r="I58" s="41"/>
      <c r="J58" s="25"/>
      <c r="K58" s="26">
        <f t="shared" si="5"/>
        <v>28970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48" customFormat="1" ht="25.5" x14ac:dyDescent="0.2">
      <c r="A59" s="34"/>
      <c r="B59" s="50" t="s">
        <v>38</v>
      </c>
      <c r="C59" s="49"/>
      <c r="D59" s="34" t="s">
        <v>186</v>
      </c>
      <c r="E59" s="35"/>
      <c r="F59" s="36">
        <f t="shared" si="6"/>
        <v>0</v>
      </c>
      <c r="G59" s="37"/>
      <c r="H59" s="37">
        <f t="shared" si="4"/>
        <v>0</v>
      </c>
      <c r="I59" s="38"/>
      <c r="J59" s="25"/>
      <c r="K59" s="26">
        <f t="shared" si="5"/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48" customFormat="1" ht="38.25" x14ac:dyDescent="0.2">
      <c r="A60" s="34"/>
      <c r="B60" s="50" t="s">
        <v>69</v>
      </c>
      <c r="C60" s="49"/>
      <c r="D60" s="24" t="s">
        <v>225</v>
      </c>
      <c r="E60" s="35">
        <v>52570</v>
      </c>
      <c r="F60" s="36">
        <f t="shared" si="6"/>
        <v>0</v>
      </c>
      <c r="G60" s="37"/>
      <c r="H60" s="37">
        <f t="shared" si="4"/>
        <v>0</v>
      </c>
      <c r="I60" s="38"/>
      <c r="J60" s="25"/>
      <c r="K60" s="26">
        <f t="shared" si="5"/>
        <v>52570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48" customFormat="1" ht="12.75" x14ac:dyDescent="0.2">
      <c r="A61" s="34"/>
      <c r="B61" s="50" t="s">
        <v>39</v>
      </c>
      <c r="C61" s="49"/>
      <c r="D61" s="34" t="s">
        <v>186</v>
      </c>
      <c r="E61" s="35"/>
      <c r="F61" s="36">
        <f t="shared" si="6"/>
        <v>0</v>
      </c>
      <c r="G61" s="37"/>
      <c r="H61" s="37">
        <f t="shared" si="4"/>
        <v>0</v>
      </c>
      <c r="I61" s="38"/>
      <c r="J61" s="25"/>
      <c r="K61" s="26">
        <f t="shared" si="5"/>
        <v>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48" customFormat="1" ht="25.5" x14ac:dyDescent="0.2">
      <c r="A62" s="34"/>
      <c r="B62" s="50" t="s">
        <v>40</v>
      </c>
      <c r="C62" s="49" t="s">
        <v>151</v>
      </c>
      <c r="D62" s="24" t="s">
        <v>152</v>
      </c>
      <c r="E62" s="35"/>
      <c r="F62" s="36">
        <f t="shared" si="6"/>
        <v>384902</v>
      </c>
      <c r="G62" s="37"/>
      <c r="H62" s="37">
        <f t="shared" si="4"/>
        <v>384902</v>
      </c>
      <c r="I62" s="38">
        <v>384902</v>
      </c>
      <c r="J62" s="25"/>
      <c r="K62" s="26">
        <f t="shared" si="5"/>
        <v>384902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48" customFormat="1" ht="12.75" x14ac:dyDescent="0.2">
      <c r="A63" s="34"/>
      <c r="B63" s="50" t="s">
        <v>126</v>
      </c>
      <c r="C63" s="49" t="s">
        <v>148</v>
      </c>
      <c r="D63" s="24" t="s">
        <v>149</v>
      </c>
      <c r="E63" s="35"/>
      <c r="F63" s="36">
        <f t="shared" si="6"/>
        <v>102665.4</v>
      </c>
      <c r="G63" s="37">
        <v>102665.4</v>
      </c>
      <c r="H63" s="37">
        <f t="shared" si="4"/>
        <v>0</v>
      </c>
      <c r="I63" s="38"/>
      <c r="J63" s="25"/>
      <c r="K63" s="26">
        <f t="shared" si="5"/>
        <v>102665.4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48" customFormat="1" ht="25.5" x14ac:dyDescent="0.2">
      <c r="A64" s="108"/>
      <c r="B64" s="111" t="s">
        <v>127</v>
      </c>
      <c r="C64" s="49" t="s">
        <v>158</v>
      </c>
      <c r="D64" s="24" t="s">
        <v>183</v>
      </c>
      <c r="E64" s="35">
        <v>67735</v>
      </c>
      <c r="F64" s="36">
        <f t="shared" si="6"/>
        <v>0</v>
      </c>
      <c r="G64" s="37"/>
      <c r="H64" s="37">
        <f t="shared" si="4"/>
        <v>0</v>
      </c>
      <c r="I64" s="41"/>
      <c r="J64" s="42"/>
      <c r="K64" s="26">
        <f t="shared" si="5"/>
        <v>67735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48" customFormat="1" ht="25.5" x14ac:dyDescent="0.2">
      <c r="A65" s="109"/>
      <c r="B65" s="112"/>
      <c r="C65" s="49" t="s">
        <v>158</v>
      </c>
      <c r="D65" s="24" t="s">
        <v>184</v>
      </c>
      <c r="E65" s="35">
        <v>125000</v>
      </c>
      <c r="F65" s="36">
        <f t="shared" si="6"/>
        <v>0</v>
      </c>
      <c r="G65" s="37"/>
      <c r="H65" s="37">
        <f t="shared" si="4"/>
        <v>0</v>
      </c>
      <c r="I65" s="41"/>
      <c r="J65" s="43"/>
      <c r="K65" s="26">
        <f t="shared" si="5"/>
        <v>125000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48" customFormat="1" ht="25.5" x14ac:dyDescent="0.2">
      <c r="A66" s="109"/>
      <c r="B66" s="112"/>
      <c r="C66" s="49" t="s">
        <v>167</v>
      </c>
      <c r="D66" s="24" t="s">
        <v>185</v>
      </c>
      <c r="E66" s="35">
        <v>97600</v>
      </c>
      <c r="F66" s="36">
        <f t="shared" si="6"/>
        <v>0</v>
      </c>
      <c r="G66" s="37"/>
      <c r="H66" s="37">
        <f t="shared" si="4"/>
        <v>0</v>
      </c>
      <c r="I66" s="41"/>
      <c r="J66" s="43"/>
      <c r="K66" s="26">
        <f t="shared" si="5"/>
        <v>97600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48" customFormat="1" ht="38.25" x14ac:dyDescent="0.2">
      <c r="A67" s="109"/>
      <c r="B67" s="112"/>
      <c r="C67" s="49" t="s">
        <v>167</v>
      </c>
      <c r="D67" s="24" t="s">
        <v>207</v>
      </c>
      <c r="E67" s="35">
        <v>219000</v>
      </c>
      <c r="F67" s="36">
        <f t="shared" si="6"/>
        <v>0</v>
      </c>
      <c r="G67" s="37"/>
      <c r="H67" s="37">
        <f t="shared" si="4"/>
        <v>0</v>
      </c>
      <c r="I67" s="41"/>
      <c r="J67" s="43"/>
      <c r="K67" s="26">
        <f t="shared" si="5"/>
        <v>219000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48" customFormat="1" ht="25.5" x14ac:dyDescent="0.2">
      <c r="A68" s="109"/>
      <c r="B68" s="112"/>
      <c r="C68" s="49" t="s">
        <v>158</v>
      </c>
      <c r="D68" s="24" t="s">
        <v>206</v>
      </c>
      <c r="E68" s="35">
        <v>409070</v>
      </c>
      <c r="F68" s="36">
        <f>SUM(G68:H68)</f>
        <v>0</v>
      </c>
      <c r="G68" s="37"/>
      <c r="H68" s="37">
        <f>SUM(I68:J68)</f>
        <v>0</v>
      </c>
      <c r="I68" s="41"/>
      <c r="J68" s="43"/>
      <c r="K68" s="26">
        <f>SUM(E68:F68)</f>
        <v>409070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48" customFormat="1" ht="38.25" x14ac:dyDescent="0.2">
      <c r="A69" s="109"/>
      <c r="B69" s="112"/>
      <c r="C69" s="49"/>
      <c r="D69" s="51" t="s">
        <v>221</v>
      </c>
      <c r="E69" s="35">
        <f>622640+95440</f>
        <v>718080</v>
      </c>
      <c r="F69" s="36">
        <f>SUM(G69:H69)</f>
        <v>0</v>
      </c>
      <c r="G69" s="37"/>
      <c r="H69" s="37">
        <f>SUM(I69:J69)</f>
        <v>0</v>
      </c>
      <c r="I69" s="41"/>
      <c r="J69" s="43"/>
      <c r="K69" s="26">
        <f>SUM(E69:F69)</f>
        <v>718080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48" customFormat="1" ht="63.75" x14ac:dyDescent="0.2">
      <c r="A70" s="109"/>
      <c r="B70" s="112"/>
      <c r="C70" s="49"/>
      <c r="D70" s="51" t="s">
        <v>222</v>
      </c>
      <c r="E70" s="35">
        <v>1964500</v>
      </c>
      <c r="F70" s="36">
        <f>SUM(G70:H70)</f>
        <v>0</v>
      </c>
      <c r="G70" s="37"/>
      <c r="H70" s="37">
        <f>SUM(I70:J70)</f>
        <v>0</v>
      </c>
      <c r="I70" s="41"/>
      <c r="J70" s="43"/>
      <c r="K70" s="26">
        <f>SUM(E70:F70)</f>
        <v>1964500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48" customFormat="1" ht="12.75" x14ac:dyDescent="0.2">
      <c r="A71" s="34"/>
      <c r="B71" s="50" t="s">
        <v>70</v>
      </c>
      <c r="C71" s="49"/>
      <c r="D71" s="34" t="s">
        <v>186</v>
      </c>
      <c r="E71" s="35"/>
      <c r="F71" s="36">
        <f t="shared" si="6"/>
        <v>0</v>
      </c>
      <c r="G71" s="37"/>
      <c r="H71" s="37">
        <f t="shared" si="4"/>
        <v>0</v>
      </c>
      <c r="I71" s="38"/>
      <c r="J71" s="25"/>
      <c r="K71" s="26">
        <f t="shared" si="5"/>
        <v>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48" customFormat="1" ht="12.75" x14ac:dyDescent="0.2">
      <c r="A72" s="34"/>
      <c r="B72" s="50" t="s">
        <v>41</v>
      </c>
      <c r="C72" s="49"/>
      <c r="D72" s="34" t="s">
        <v>186</v>
      </c>
      <c r="E72" s="35"/>
      <c r="F72" s="36">
        <f t="shared" si="6"/>
        <v>0</v>
      </c>
      <c r="G72" s="37"/>
      <c r="H72" s="37">
        <f t="shared" si="4"/>
        <v>0</v>
      </c>
      <c r="I72" s="38"/>
      <c r="J72" s="25"/>
      <c r="K72" s="26">
        <f t="shared" si="5"/>
        <v>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s="48" customFormat="1" ht="25.5" x14ac:dyDescent="0.2">
      <c r="A73" s="108"/>
      <c r="B73" s="111" t="s">
        <v>42</v>
      </c>
      <c r="C73" s="49" t="s">
        <v>145</v>
      </c>
      <c r="D73" s="24" t="s">
        <v>146</v>
      </c>
      <c r="E73" s="35"/>
      <c r="F73" s="36">
        <f t="shared" si="6"/>
        <v>0</v>
      </c>
      <c r="G73" s="37">
        <f>28973.12-28973.12</f>
        <v>0</v>
      </c>
      <c r="H73" s="37">
        <f t="shared" si="4"/>
        <v>0</v>
      </c>
      <c r="I73" s="41"/>
      <c r="J73" s="25"/>
      <c r="K73" s="26">
        <f t="shared" si="5"/>
        <v>0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s="48" customFormat="1" ht="12.75" x14ac:dyDescent="0.2">
      <c r="A74" s="109"/>
      <c r="B74" s="112"/>
      <c r="C74" s="49" t="s">
        <v>158</v>
      </c>
      <c r="D74" s="24" t="s">
        <v>159</v>
      </c>
      <c r="E74" s="35"/>
      <c r="F74" s="36">
        <f t="shared" si="6"/>
        <v>385817</v>
      </c>
      <c r="G74" s="37">
        <v>385817</v>
      </c>
      <c r="H74" s="37">
        <f t="shared" si="4"/>
        <v>0</v>
      </c>
      <c r="I74" s="41"/>
      <c r="J74" s="25"/>
      <c r="K74" s="26">
        <f t="shared" si="5"/>
        <v>385817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48" customFormat="1" ht="25.5" x14ac:dyDescent="0.2">
      <c r="A75" s="109"/>
      <c r="B75" s="112"/>
      <c r="C75" s="49" t="s">
        <v>167</v>
      </c>
      <c r="D75" s="24" t="s">
        <v>146</v>
      </c>
      <c r="E75" s="35"/>
      <c r="F75" s="36">
        <f t="shared" si="6"/>
        <v>57946.239999999998</v>
      </c>
      <c r="G75" s="37">
        <v>57946.239999999998</v>
      </c>
      <c r="H75" s="37">
        <f t="shared" si="4"/>
        <v>0</v>
      </c>
      <c r="I75" s="41"/>
      <c r="J75" s="43"/>
      <c r="K75" s="26">
        <f>SUM(E75:F75)+8.12</f>
        <v>57954.36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s="48" customFormat="1" ht="12.75" x14ac:dyDescent="0.2">
      <c r="A76" s="109"/>
      <c r="B76" s="112"/>
      <c r="C76" s="49" t="s">
        <v>169</v>
      </c>
      <c r="D76" s="79" t="s">
        <v>233</v>
      </c>
      <c r="E76" s="35">
        <v>4598080</v>
      </c>
      <c r="F76" s="36">
        <f t="shared" si="6"/>
        <v>0</v>
      </c>
      <c r="G76" s="37"/>
      <c r="H76" s="37">
        <f t="shared" si="4"/>
        <v>0</v>
      </c>
      <c r="I76" s="41"/>
      <c r="J76" s="43"/>
      <c r="K76" s="26">
        <f>SUM(E76:F76)+8.12</f>
        <v>4598088.12</v>
      </c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</row>
    <row r="77" spans="1:254" s="48" customFormat="1" ht="25.5" x14ac:dyDescent="0.2">
      <c r="A77" s="110"/>
      <c r="B77" s="113"/>
      <c r="C77" s="49" t="s">
        <v>164</v>
      </c>
      <c r="D77" s="24" t="s">
        <v>165</v>
      </c>
      <c r="E77" s="35"/>
      <c r="F77" s="36">
        <f t="shared" si="6"/>
        <v>40985</v>
      </c>
      <c r="G77" s="37"/>
      <c r="H77" s="37">
        <f t="shared" si="4"/>
        <v>40985</v>
      </c>
      <c r="I77" s="38">
        <v>40985</v>
      </c>
      <c r="J77" s="25"/>
      <c r="K77" s="26">
        <f t="shared" si="5"/>
        <v>40985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s="48" customFormat="1" ht="15" customHeight="1" x14ac:dyDescent="0.2">
      <c r="A78" s="108"/>
      <c r="B78" s="111" t="s">
        <v>43</v>
      </c>
      <c r="C78" s="49"/>
      <c r="D78" s="24" t="s">
        <v>204</v>
      </c>
      <c r="E78" s="35">
        <v>265390</v>
      </c>
      <c r="F78" s="36">
        <f t="shared" si="6"/>
        <v>0</v>
      </c>
      <c r="G78" s="37"/>
      <c r="H78" s="37">
        <f t="shared" si="4"/>
        <v>0</v>
      </c>
      <c r="I78" s="38"/>
      <c r="J78" s="25"/>
      <c r="K78" s="26">
        <f t="shared" si="5"/>
        <v>265390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48" customFormat="1" ht="12.75" x14ac:dyDescent="0.2">
      <c r="A79" s="110"/>
      <c r="B79" s="113"/>
      <c r="C79" s="49"/>
      <c r="D79" s="24" t="s">
        <v>201</v>
      </c>
      <c r="E79" s="35">
        <v>646270</v>
      </c>
      <c r="F79" s="36">
        <f t="shared" si="6"/>
        <v>0</v>
      </c>
      <c r="G79" s="37"/>
      <c r="H79" s="37">
        <f t="shared" si="4"/>
        <v>0</v>
      </c>
      <c r="I79" s="38"/>
      <c r="J79" s="25"/>
      <c r="K79" s="26">
        <f t="shared" si="5"/>
        <v>646270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48" customFormat="1" ht="12.75" x14ac:dyDescent="0.2">
      <c r="A80" s="107" t="s">
        <v>199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26">
        <f>SUM(K24:K79)</f>
        <v>23301698.120000001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s="48" customFormat="1" ht="12.75" x14ac:dyDescent="0.2">
      <c r="A81" s="107" t="s">
        <v>200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26">
        <f>K16+K22+K80</f>
        <v>27508098.120000001</v>
      </c>
      <c r="L81" s="54">
        <f>K81-'(01.03.2016'!K71</f>
        <v>8479090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x14ac:dyDescent="0.25">
      <c r="D82" s="29"/>
      <c r="E82" s="30"/>
      <c r="F82" s="30"/>
      <c r="G82" s="30"/>
      <c r="H82" s="30"/>
      <c r="K82" s="53">
        <f>14430920+4598080+8479090</f>
        <v>27508090</v>
      </c>
      <c r="M82" s="45"/>
    </row>
    <row r="83" spans="1:254" s="21" customFormat="1" ht="12.75" x14ac:dyDescent="0.25">
      <c r="E83" s="30"/>
      <c r="F83" s="30"/>
      <c r="G83" s="30"/>
      <c r="H83" s="30"/>
      <c r="K83" s="53">
        <f>K81-K82</f>
        <v>8.1200000010430813</v>
      </c>
    </row>
    <row r="84" spans="1:254" s="21" customFormat="1" ht="12.75" x14ac:dyDescent="0.25">
      <c r="E84" s="30"/>
      <c r="F84" s="30"/>
      <c r="G84" s="30"/>
      <c r="H84" s="30"/>
    </row>
    <row r="85" spans="1:254" s="21" customFormat="1" ht="12.75" customHeight="1" x14ac:dyDescent="0.25">
      <c r="E85" s="30"/>
      <c r="F85" s="30"/>
      <c r="G85" s="30"/>
      <c r="H85" s="106" t="s">
        <v>67</v>
      </c>
      <c r="I85" s="106"/>
      <c r="J85" s="106"/>
      <c r="K85" s="55">
        <f>SUM(K24:K34)</f>
        <v>3610098.92</v>
      </c>
      <c r="L85" s="45">
        <f>'(01.05.2016'!K85-'(01.03.2016'!K75</f>
        <v>1148000</v>
      </c>
    </row>
    <row r="86" spans="1:254" s="21" customFormat="1" ht="12.75" customHeight="1" x14ac:dyDescent="0.25">
      <c r="E86" s="30"/>
      <c r="F86" s="30"/>
      <c r="G86" s="30"/>
      <c r="H86" s="106" t="s">
        <v>68</v>
      </c>
      <c r="I86" s="106"/>
      <c r="J86" s="106"/>
      <c r="K86" s="55">
        <f>SUM(K35)</f>
        <v>0</v>
      </c>
      <c r="L86" s="45">
        <f>'(01.05.2016'!K86-'(01.03.2016'!K76</f>
        <v>0</v>
      </c>
    </row>
    <row r="87" spans="1:254" s="21" customFormat="1" ht="12.75" customHeight="1" x14ac:dyDescent="0.25">
      <c r="E87" s="30"/>
      <c r="F87" s="30"/>
      <c r="G87" s="30"/>
      <c r="H87" s="106" t="s">
        <v>33</v>
      </c>
      <c r="I87" s="106"/>
      <c r="J87" s="106"/>
      <c r="K87" s="55">
        <f>SUM(K36:K37)</f>
        <v>401798</v>
      </c>
      <c r="L87" s="45">
        <f>'(01.05.2016'!K87-'(01.03.2016'!K77</f>
        <v>0</v>
      </c>
    </row>
    <row r="88" spans="1:254" s="21" customFormat="1" ht="12.75" customHeight="1" x14ac:dyDescent="0.25">
      <c r="E88" s="30"/>
      <c r="F88" s="30"/>
      <c r="G88" s="30"/>
      <c r="H88" s="106" t="s">
        <v>34</v>
      </c>
      <c r="I88" s="106"/>
      <c r="J88" s="106"/>
      <c r="K88" s="55">
        <f>SUM(K38)</f>
        <v>144530</v>
      </c>
      <c r="L88" s="45">
        <f>'(01.05.2016'!K88-'(01.03.2016'!K78</f>
        <v>0</v>
      </c>
    </row>
    <row r="89" spans="1:254" s="21" customFormat="1" ht="12.75" customHeight="1" x14ac:dyDescent="0.25">
      <c r="E89" s="30"/>
      <c r="F89" s="30"/>
      <c r="G89" s="30"/>
      <c r="H89" s="106" t="s">
        <v>35</v>
      </c>
      <c r="I89" s="106"/>
      <c r="J89" s="106"/>
      <c r="K89" s="55">
        <f>SUM(K39:K55)</f>
        <v>8887417.3200000003</v>
      </c>
      <c r="L89" s="45">
        <f>'(01.05.2016'!K89-'(01.03.2016'!K79</f>
        <v>4352340</v>
      </c>
    </row>
    <row r="90" spans="1:254" s="21" customFormat="1" ht="12.75" customHeight="1" x14ac:dyDescent="0.25">
      <c r="E90" s="30"/>
      <c r="F90" s="30"/>
      <c r="G90" s="30"/>
      <c r="H90" s="106" t="s">
        <v>36</v>
      </c>
      <c r="I90" s="106"/>
      <c r="J90" s="106"/>
      <c r="K90" s="55"/>
      <c r="L90" s="45">
        <f>'(01.05.2016'!K90-'(01.03.2016'!K80</f>
        <v>0</v>
      </c>
    </row>
    <row r="91" spans="1:254" s="21" customFormat="1" ht="12.75" customHeight="1" x14ac:dyDescent="0.25">
      <c r="E91" s="30"/>
      <c r="F91" s="30"/>
      <c r="G91" s="30"/>
      <c r="H91" s="106" t="s">
        <v>37</v>
      </c>
      <c r="I91" s="106"/>
      <c r="J91" s="106"/>
      <c r="K91" s="55">
        <f>SUM(K57:K58)</f>
        <v>122227</v>
      </c>
      <c r="L91" s="45">
        <f>'(01.05.2016'!K91-'(01.03.2016'!K81</f>
        <v>0</v>
      </c>
    </row>
    <row r="92" spans="1:254" s="21" customFormat="1" ht="12.75" customHeight="1" x14ac:dyDescent="0.25">
      <c r="E92" s="30"/>
      <c r="F92" s="30"/>
      <c r="G92" s="30"/>
      <c r="H92" s="106" t="s">
        <v>38</v>
      </c>
      <c r="I92" s="106"/>
      <c r="J92" s="106"/>
      <c r="K92" s="55">
        <f>SUM(K59)</f>
        <v>0</v>
      </c>
      <c r="L92" s="45">
        <f>'(01.05.2016'!K92-'(01.03.2016'!K82</f>
        <v>0</v>
      </c>
    </row>
    <row r="93" spans="1:254" s="21" customFormat="1" ht="12.75" customHeight="1" x14ac:dyDescent="0.25">
      <c r="E93" s="30"/>
      <c r="F93" s="30"/>
      <c r="G93" s="30"/>
      <c r="H93" s="106" t="s">
        <v>69</v>
      </c>
      <c r="I93" s="106"/>
      <c r="J93" s="106"/>
      <c r="K93" s="55">
        <f>SUM(K60)</f>
        <v>52570</v>
      </c>
      <c r="L93" s="45">
        <f>'(01.05.2016'!K93-'(01.03.2016'!K83</f>
        <v>52570</v>
      </c>
    </row>
    <row r="94" spans="1:254" s="21" customFormat="1" ht="12.75" x14ac:dyDescent="0.25">
      <c r="E94" s="30"/>
      <c r="F94" s="30"/>
      <c r="G94" s="30"/>
      <c r="H94" s="106" t="s">
        <v>39</v>
      </c>
      <c r="I94" s="106"/>
      <c r="J94" s="106"/>
      <c r="K94" s="55">
        <f>SUM(K61)</f>
        <v>0</v>
      </c>
      <c r="L94" s="45">
        <f>'(01.05.2016'!K94-'(01.03.2016'!K84</f>
        <v>0</v>
      </c>
    </row>
    <row r="95" spans="1:254" s="21" customFormat="1" ht="12.75" customHeight="1" x14ac:dyDescent="0.25">
      <c r="E95" s="30"/>
      <c r="F95" s="30"/>
      <c r="G95" s="30"/>
      <c r="H95" s="106" t="s">
        <v>40</v>
      </c>
      <c r="I95" s="106"/>
      <c r="J95" s="106"/>
      <c r="K95" s="55">
        <f>SUM(K62)</f>
        <v>384902</v>
      </c>
      <c r="L95" s="45">
        <f>'(01.05.2016'!K95-'(01.03.2016'!K85</f>
        <v>0</v>
      </c>
    </row>
    <row r="96" spans="1:254" s="21" customFormat="1" ht="12.75" customHeight="1" x14ac:dyDescent="0.25">
      <c r="E96" s="30"/>
      <c r="F96" s="30"/>
      <c r="G96" s="30"/>
      <c r="H96" s="106" t="s">
        <v>126</v>
      </c>
      <c r="I96" s="106"/>
      <c r="J96" s="106"/>
      <c r="K96" s="55">
        <f>SUM(K63)</f>
        <v>102665.4</v>
      </c>
      <c r="L96" s="45">
        <f>'(01.05.2016'!K96-'(01.03.2016'!K86</f>
        <v>0</v>
      </c>
    </row>
    <row r="97" spans="5:12" s="21" customFormat="1" ht="12.75" customHeight="1" x14ac:dyDescent="0.25">
      <c r="E97" s="30"/>
      <c r="F97" s="30"/>
      <c r="G97" s="30"/>
      <c r="H97" s="106" t="s">
        <v>127</v>
      </c>
      <c r="I97" s="106"/>
      <c r="J97" s="106"/>
      <c r="K97" s="55">
        <f>SUM(K64:K70)</f>
        <v>3600985</v>
      </c>
      <c r="L97" s="45">
        <f>'(01.05.2016'!K97-'(01.03.2016'!K87</f>
        <v>2682580</v>
      </c>
    </row>
    <row r="98" spans="5:12" s="21" customFormat="1" ht="12.75" customHeight="1" x14ac:dyDescent="0.25">
      <c r="E98" s="30"/>
      <c r="F98" s="30"/>
      <c r="G98" s="30"/>
      <c r="H98" s="106" t="s">
        <v>70</v>
      </c>
      <c r="I98" s="106"/>
      <c r="J98" s="106"/>
      <c r="K98" s="55">
        <f>SUM(K71)</f>
        <v>0</v>
      </c>
      <c r="L98" s="45">
        <f>'(01.05.2016'!K98-'(01.03.2016'!K88</f>
        <v>0</v>
      </c>
    </row>
    <row r="99" spans="5:12" s="21" customFormat="1" ht="12.75" customHeight="1" x14ac:dyDescent="0.25">
      <c r="E99" s="30"/>
      <c r="F99" s="30"/>
      <c r="G99" s="30"/>
      <c r="H99" s="106" t="s">
        <v>41</v>
      </c>
      <c r="I99" s="106"/>
      <c r="J99" s="106"/>
      <c r="K99" s="55">
        <f>SUM(K72)</f>
        <v>0</v>
      </c>
      <c r="L99" s="45">
        <f>'(01.05.2016'!K99-'(01.03.2016'!K89</f>
        <v>0</v>
      </c>
    </row>
    <row r="100" spans="5:12" s="21" customFormat="1" ht="12.75" customHeight="1" x14ac:dyDescent="0.25">
      <c r="E100" s="30"/>
      <c r="F100" s="30"/>
      <c r="G100" s="30"/>
      <c r="H100" s="106" t="s">
        <v>42</v>
      </c>
      <c r="I100" s="106"/>
      <c r="J100" s="106"/>
      <c r="K100" s="55">
        <f>SUM(K73:K77)</f>
        <v>5082844.4800000004</v>
      </c>
      <c r="L100" s="45">
        <f>'(01.05.2016'!K100-'(01.03.2016'!K90</f>
        <v>0</v>
      </c>
    </row>
    <row r="101" spans="5:12" s="21" customFormat="1" ht="12.75" customHeight="1" x14ac:dyDescent="0.25">
      <c r="E101" s="30"/>
      <c r="F101" s="30"/>
      <c r="G101" s="30"/>
      <c r="H101" s="106" t="s">
        <v>43</v>
      </c>
      <c r="I101" s="106"/>
      <c r="J101" s="106"/>
      <c r="K101" s="55">
        <f>SUM(K78:K79)</f>
        <v>911660</v>
      </c>
      <c r="L101" s="45">
        <f>'(01.05.2016'!K101-'(01.03.2016'!K91</f>
        <v>0</v>
      </c>
    </row>
    <row r="102" spans="5:12" s="21" customFormat="1" ht="15" customHeight="1" x14ac:dyDescent="0.25">
      <c r="E102" s="30"/>
      <c r="F102" s="30"/>
      <c r="G102" s="30"/>
      <c r="H102" s="30"/>
      <c r="K102" s="44">
        <f>SUM(K85:K101)</f>
        <v>23301698.120000001</v>
      </c>
    </row>
    <row r="103" spans="5:12" s="21" customFormat="1" ht="15" customHeight="1" x14ac:dyDescent="0.25">
      <c r="E103" s="30"/>
      <c r="F103" s="30"/>
      <c r="G103" s="30"/>
      <c r="H103" s="30"/>
      <c r="K103" s="44">
        <f>K102-K80</f>
        <v>0</v>
      </c>
    </row>
    <row r="104" spans="5:12" s="21" customFormat="1" ht="12.75" x14ac:dyDescent="0.25">
      <c r="E104" s="30"/>
      <c r="F104" s="30"/>
      <c r="G104" s="30"/>
      <c r="H104" s="30"/>
    </row>
    <row r="105" spans="5:12" s="21" customFormat="1" ht="12.75" x14ac:dyDescent="0.25">
      <c r="E105" s="30"/>
      <c r="F105" s="30"/>
      <c r="G105" s="30"/>
      <c r="H105" s="30"/>
    </row>
    <row r="106" spans="5:12" s="21" customFormat="1" ht="12.75" x14ac:dyDescent="0.25">
      <c r="E106" s="30"/>
      <c r="F106" s="30"/>
      <c r="G106" s="30"/>
      <c r="H106" s="30"/>
    </row>
    <row r="107" spans="5:12" s="21" customFormat="1" ht="12.75" x14ac:dyDescent="0.25">
      <c r="E107" s="30"/>
      <c r="F107" s="30"/>
      <c r="G107" s="30"/>
      <c r="H107" s="30"/>
    </row>
    <row r="108" spans="5:12" s="21" customFormat="1" ht="12.75" x14ac:dyDescent="0.25">
      <c r="E108" s="30"/>
      <c r="F108" s="30"/>
      <c r="G108" s="30"/>
      <c r="H108" s="30"/>
    </row>
    <row r="109" spans="5:12" s="21" customFormat="1" ht="12.75" x14ac:dyDescent="0.25">
      <c r="E109" s="30"/>
      <c r="F109" s="30"/>
      <c r="G109" s="30"/>
      <c r="H109" s="30"/>
    </row>
    <row r="110" spans="5:12" s="21" customFormat="1" ht="12.75" x14ac:dyDescent="0.25">
      <c r="E110" s="30"/>
      <c r="F110" s="30"/>
      <c r="G110" s="30"/>
      <c r="H110" s="30"/>
    </row>
    <row r="111" spans="5:12" s="21" customFormat="1" ht="12.75" x14ac:dyDescent="0.25">
      <c r="E111" s="30"/>
      <c r="F111" s="30"/>
      <c r="G111" s="30"/>
      <c r="H111" s="30"/>
    </row>
    <row r="112" spans="5:12" s="21" customFormat="1" ht="12.75" x14ac:dyDescent="0.25">
      <c r="E112" s="30"/>
      <c r="F112" s="30"/>
      <c r="G112" s="30"/>
      <c r="H112" s="30"/>
    </row>
    <row r="113" spans="5:8" s="21" customFormat="1" ht="12.75" x14ac:dyDescent="0.25">
      <c r="E113" s="30"/>
      <c r="F113" s="30"/>
      <c r="G113" s="30"/>
      <c r="H113" s="30"/>
    </row>
    <row r="114" spans="5:8" s="21" customFormat="1" ht="12.75" x14ac:dyDescent="0.25">
      <c r="E114" s="30"/>
      <c r="F114" s="30"/>
      <c r="G114" s="30"/>
      <c r="H114" s="30"/>
    </row>
    <row r="115" spans="5:8" s="21" customFormat="1" ht="12.75" x14ac:dyDescent="0.25">
      <c r="E115" s="30"/>
      <c r="F115" s="30"/>
      <c r="G115" s="30"/>
      <c r="H115" s="30"/>
    </row>
    <row r="116" spans="5:8" s="21" customFormat="1" ht="12.75" x14ac:dyDescent="0.25">
      <c r="E116" s="30"/>
      <c r="F116" s="30"/>
      <c r="G116" s="30"/>
      <c r="H116" s="30"/>
    </row>
    <row r="117" spans="5:8" s="21" customFormat="1" ht="12.75" x14ac:dyDescent="0.25">
      <c r="E117" s="30"/>
      <c r="F117" s="30"/>
      <c r="G117" s="30"/>
      <c r="H117" s="30"/>
    </row>
    <row r="118" spans="5:8" s="21" customFormat="1" ht="12.75" x14ac:dyDescent="0.25">
      <c r="E118" s="30"/>
      <c r="F118" s="30"/>
      <c r="G118" s="30"/>
      <c r="H118" s="30"/>
    </row>
    <row r="119" spans="5:8" s="21" customFormat="1" ht="12.75" x14ac:dyDescent="0.25">
      <c r="E119" s="30"/>
      <c r="F119" s="30"/>
      <c r="G119" s="30"/>
      <c r="H119" s="30"/>
    </row>
    <row r="120" spans="5:8" s="21" customFormat="1" ht="12.75" x14ac:dyDescent="0.25">
      <c r="E120" s="30"/>
      <c r="F120" s="30"/>
      <c r="G120" s="30"/>
      <c r="H120" s="30"/>
    </row>
    <row r="121" spans="5:8" s="21" customFormat="1" ht="12.75" x14ac:dyDescent="0.25">
      <c r="E121" s="30"/>
      <c r="F121" s="30"/>
      <c r="G121" s="30"/>
      <c r="H121" s="30"/>
    </row>
    <row r="122" spans="5:8" s="21" customFormat="1" ht="12.75" x14ac:dyDescent="0.25">
      <c r="E122" s="30"/>
      <c r="F122" s="30"/>
      <c r="G122" s="30"/>
      <c r="H122" s="30"/>
    </row>
    <row r="123" spans="5:8" s="21" customFormat="1" ht="12.75" x14ac:dyDescent="0.25">
      <c r="E123" s="30"/>
      <c r="F123" s="30"/>
      <c r="G123" s="30"/>
      <c r="H123" s="30"/>
    </row>
    <row r="124" spans="5:8" s="21" customFormat="1" ht="12.75" x14ac:dyDescent="0.25">
      <c r="E124" s="30"/>
      <c r="F124" s="30"/>
      <c r="G124" s="30"/>
      <c r="H124" s="30"/>
    </row>
    <row r="125" spans="5:8" s="21" customFormat="1" ht="12.75" x14ac:dyDescent="0.25">
      <c r="E125" s="30"/>
      <c r="F125" s="30"/>
      <c r="G125" s="30"/>
      <c r="H125" s="30"/>
    </row>
    <row r="126" spans="5:8" s="21" customFormat="1" ht="12.75" x14ac:dyDescent="0.25">
      <c r="E126" s="30"/>
      <c r="F126" s="30"/>
      <c r="G126" s="30"/>
      <c r="H126" s="30"/>
    </row>
    <row r="127" spans="5:8" s="21" customFormat="1" ht="12.75" x14ac:dyDescent="0.25">
      <c r="E127" s="30"/>
      <c r="F127" s="30"/>
      <c r="G127" s="30"/>
      <c r="H127" s="30"/>
    </row>
    <row r="128" spans="5:8" s="21" customFormat="1" ht="12.75" x14ac:dyDescent="0.25">
      <c r="E128" s="30"/>
      <c r="F128" s="30"/>
      <c r="G128" s="30"/>
      <c r="H128" s="30"/>
    </row>
    <row r="129" spans="5:8" s="21" customFormat="1" ht="12.75" x14ac:dyDescent="0.25">
      <c r="E129" s="30"/>
      <c r="F129" s="30"/>
      <c r="G129" s="30"/>
      <c r="H129" s="30"/>
    </row>
    <row r="130" spans="5:8" s="21" customFormat="1" ht="12.75" x14ac:dyDescent="0.25">
      <c r="E130" s="30"/>
      <c r="F130" s="30"/>
      <c r="G130" s="30"/>
      <c r="H130" s="30"/>
    </row>
    <row r="131" spans="5:8" s="21" customFormat="1" ht="12.75" x14ac:dyDescent="0.25">
      <c r="E131" s="30"/>
      <c r="F131" s="30"/>
      <c r="G131" s="30"/>
      <c r="H131" s="30"/>
    </row>
    <row r="132" spans="5:8" s="21" customFormat="1" ht="12.75" x14ac:dyDescent="0.25">
      <c r="E132" s="30"/>
      <c r="F132" s="30"/>
      <c r="G132" s="30"/>
      <c r="H132" s="30"/>
    </row>
    <row r="133" spans="5:8" s="21" customFormat="1" ht="12.75" x14ac:dyDescent="0.25">
      <c r="E133" s="30"/>
      <c r="F133" s="30"/>
      <c r="G133" s="30"/>
      <c r="H133" s="30"/>
    </row>
    <row r="134" spans="5:8" s="21" customFormat="1" ht="12.75" x14ac:dyDescent="0.25">
      <c r="E134" s="30"/>
      <c r="F134" s="30"/>
      <c r="G134" s="30"/>
      <c r="H134" s="30"/>
    </row>
    <row r="135" spans="5:8" s="21" customFormat="1" ht="12.75" x14ac:dyDescent="0.25">
      <c r="E135" s="30"/>
      <c r="F135" s="30"/>
      <c r="G135" s="30"/>
      <c r="H135" s="30"/>
    </row>
    <row r="136" spans="5:8" s="21" customFormat="1" ht="12.75" x14ac:dyDescent="0.25">
      <c r="E136" s="30"/>
      <c r="F136" s="30"/>
      <c r="G136" s="30"/>
      <c r="H136" s="30"/>
    </row>
    <row r="137" spans="5:8" s="21" customFormat="1" ht="12.75" x14ac:dyDescent="0.25">
      <c r="E137" s="30"/>
      <c r="F137" s="30"/>
      <c r="G137" s="30"/>
      <c r="H137" s="30"/>
    </row>
    <row r="138" spans="5:8" s="21" customFormat="1" ht="12.75" x14ac:dyDescent="0.25">
      <c r="E138" s="30"/>
      <c r="F138" s="30"/>
      <c r="G138" s="30"/>
      <c r="H138" s="30"/>
    </row>
    <row r="139" spans="5:8" s="21" customFormat="1" ht="12.75" x14ac:dyDescent="0.25">
      <c r="E139" s="30"/>
      <c r="F139" s="30"/>
      <c r="G139" s="30"/>
      <c r="H139" s="30"/>
    </row>
    <row r="140" spans="5:8" s="21" customFormat="1" ht="12.75" x14ac:dyDescent="0.25">
      <c r="E140" s="30"/>
      <c r="F140" s="30"/>
      <c r="G140" s="30"/>
      <c r="H140" s="30"/>
    </row>
    <row r="141" spans="5:8" s="21" customFormat="1" ht="12.75" x14ac:dyDescent="0.25">
      <c r="E141" s="30"/>
      <c r="F141" s="30"/>
      <c r="G141" s="30"/>
      <c r="H141" s="30"/>
    </row>
    <row r="142" spans="5:8" s="21" customFormat="1" ht="12.75" x14ac:dyDescent="0.25">
      <c r="E142" s="30"/>
      <c r="F142" s="30"/>
      <c r="G142" s="30"/>
      <c r="H142" s="30"/>
    </row>
    <row r="143" spans="5:8" s="21" customFormat="1" ht="12.75" x14ac:dyDescent="0.25">
      <c r="E143" s="30"/>
      <c r="F143" s="30"/>
      <c r="G143" s="30"/>
      <c r="H143" s="30"/>
    </row>
    <row r="144" spans="5:8" s="21" customFormat="1" ht="12.75" x14ac:dyDescent="0.25">
      <c r="E144" s="30"/>
      <c r="F144" s="30"/>
      <c r="G144" s="30"/>
      <c r="H144" s="30"/>
    </row>
    <row r="145" spans="5:8" s="21" customFormat="1" ht="12.75" x14ac:dyDescent="0.25">
      <c r="E145" s="30"/>
      <c r="F145" s="30"/>
      <c r="G145" s="30"/>
      <c r="H145" s="30"/>
    </row>
    <row r="146" spans="5:8" s="21" customFormat="1" ht="12.75" x14ac:dyDescent="0.25">
      <c r="E146" s="30"/>
      <c r="F146" s="30"/>
      <c r="G146" s="30"/>
      <c r="H146" s="30"/>
    </row>
    <row r="147" spans="5:8" s="21" customFormat="1" ht="12.75" x14ac:dyDescent="0.25">
      <c r="E147" s="30"/>
      <c r="F147" s="30"/>
      <c r="G147" s="30"/>
      <c r="H147" s="30"/>
    </row>
    <row r="148" spans="5:8" s="21" customFormat="1" ht="12.75" x14ac:dyDescent="0.25">
      <c r="E148" s="30"/>
      <c r="F148" s="30"/>
      <c r="G148" s="30"/>
      <c r="H148" s="30"/>
    </row>
    <row r="149" spans="5:8" s="21" customFormat="1" ht="12.75" x14ac:dyDescent="0.25">
      <c r="E149" s="30"/>
      <c r="F149" s="30"/>
      <c r="G149" s="30"/>
      <c r="H149" s="30"/>
    </row>
    <row r="150" spans="5:8" s="21" customFormat="1" ht="12.75" x14ac:dyDescent="0.25">
      <c r="E150" s="30"/>
      <c r="F150" s="30"/>
      <c r="G150" s="30"/>
      <c r="H150" s="30"/>
    </row>
    <row r="151" spans="5:8" s="21" customFormat="1" ht="12.75" x14ac:dyDescent="0.25">
      <c r="E151" s="30"/>
      <c r="F151" s="30"/>
      <c r="G151" s="30"/>
      <c r="H151" s="30"/>
    </row>
    <row r="152" spans="5:8" s="21" customFormat="1" ht="12.75" x14ac:dyDescent="0.25">
      <c r="E152" s="30"/>
      <c r="F152" s="30"/>
      <c r="G152" s="30"/>
      <c r="H152" s="30"/>
    </row>
    <row r="153" spans="5:8" s="21" customFormat="1" ht="12.75" x14ac:dyDescent="0.25">
      <c r="E153" s="30"/>
      <c r="F153" s="30"/>
      <c r="G153" s="30"/>
      <c r="H153" s="30"/>
    </row>
    <row r="154" spans="5:8" s="21" customFormat="1" ht="12.75" x14ac:dyDescent="0.25">
      <c r="E154" s="30"/>
      <c r="F154" s="30"/>
      <c r="G154" s="30"/>
      <c r="H154" s="30"/>
    </row>
    <row r="155" spans="5:8" s="21" customFormat="1" ht="12.75" x14ac:dyDescent="0.25">
      <c r="E155" s="30"/>
      <c r="F155" s="30"/>
      <c r="G155" s="30"/>
      <c r="H155" s="30"/>
    </row>
    <row r="156" spans="5:8" s="21" customFormat="1" ht="12.75" x14ac:dyDescent="0.25">
      <c r="E156" s="30"/>
      <c r="F156" s="30"/>
      <c r="G156" s="30"/>
      <c r="H156" s="30"/>
    </row>
    <row r="157" spans="5:8" s="21" customFormat="1" ht="12.75" x14ac:dyDescent="0.25">
      <c r="E157" s="30"/>
      <c r="F157" s="30"/>
      <c r="G157" s="30"/>
      <c r="H157" s="30"/>
    </row>
    <row r="158" spans="5:8" s="21" customFormat="1" ht="12.75" x14ac:dyDescent="0.25">
      <c r="E158" s="30"/>
      <c r="F158" s="30"/>
      <c r="G158" s="30"/>
      <c r="H158" s="30"/>
    </row>
    <row r="159" spans="5:8" s="21" customFormat="1" ht="12.75" x14ac:dyDescent="0.25">
      <c r="E159" s="30"/>
      <c r="F159" s="30"/>
      <c r="G159" s="30"/>
      <c r="H159" s="30"/>
    </row>
    <row r="160" spans="5:8" s="21" customFormat="1" ht="12.75" x14ac:dyDescent="0.25">
      <c r="E160" s="30"/>
      <c r="F160" s="30"/>
      <c r="G160" s="30"/>
      <c r="H160" s="30"/>
    </row>
    <row r="161" spans="5:8" s="21" customFormat="1" ht="12.75" x14ac:dyDescent="0.25">
      <c r="E161" s="30"/>
      <c r="F161" s="30"/>
      <c r="G161" s="30"/>
      <c r="H161" s="30"/>
    </row>
    <row r="162" spans="5:8" s="21" customFormat="1" ht="12.75" x14ac:dyDescent="0.25">
      <c r="E162" s="30"/>
      <c r="F162" s="30"/>
      <c r="G162" s="30"/>
      <c r="H162" s="30"/>
    </row>
    <row r="163" spans="5:8" s="21" customFormat="1" ht="12.75" x14ac:dyDescent="0.25">
      <c r="E163" s="30"/>
      <c r="F163" s="30"/>
      <c r="G163" s="30"/>
      <c r="H163" s="30"/>
    </row>
    <row r="164" spans="5:8" s="21" customFormat="1" ht="12.75" x14ac:dyDescent="0.25">
      <c r="E164" s="30"/>
      <c r="F164" s="30"/>
      <c r="G164" s="30"/>
      <c r="H164" s="30"/>
    </row>
    <row r="165" spans="5:8" s="21" customFormat="1" ht="12.75" x14ac:dyDescent="0.25">
      <c r="E165" s="30"/>
      <c r="F165" s="30"/>
      <c r="G165" s="30"/>
      <c r="H165" s="30"/>
    </row>
    <row r="166" spans="5:8" s="21" customFormat="1" ht="12.75" x14ac:dyDescent="0.25">
      <c r="E166" s="30"/>
      <c r="F166" s="30"/>
      <c r="G166" s="30"/>
      <c r="H166" s="30"/>
    </row>
    <row r="167" spans="5:8" s="21" customFormat="1" ht="12.75" x14ac:dyDescent="0.25">
      <c r="E167" s="30"/>
      <c r="F167" s="30"/>
      <c r="G167" s="30"/>
      <c r="H167" s="30"/>
    </row>
    <row r="168" spans="5:8" s="21" customFormat="1" ht="12.75" x14ac:dyDescent="0.25">
      <c r="E168" s="30"/>
      <c r="F168" s="30"/>
      <c r="G168" s="30"/>
      <c r="H168" s="30"/>
    </row>
    <row r="169" spans="5:8" s="21" customFormat="1" ht="12.75" x14ac:dyDescent="0.25">
      <c r="E169" s="30"/>
      <c r="F169" s="30"/>
      <c r="G169" s="30"/>
      <c r="H169" s="30"/>
    </row>
    <row r="170" spans="5:8" s="21" customFormat="1" ht="12.75" x14ac:dyDescent="0.25">
      <c r="E170" s="30"/>
      <c r="F170" s="30"/>
      <c r="G170" s="30"/>
      <c r="H170" s="30"/>
    </row>
    <row r="171" spans="5:8" s="21" customFormat="1" ht="12.75" x14ac:dyDescent="0.25">
      <c r="E171" s="30"/>
      <c r="F171" s="30"/>
      <c r="G171" s="30"/>
      <c r="H171" s="30"/>
    </row>
    <row r="172" spans="5:8" s="21" customFormat="1" ht="12.75" x14ac:dyDescent="0.25">
      <c r="E172" s="30"/>
      <c r="F172" s="30"/>
      <c r="G172" s="30"/>
      <c r="H172" s="30"/>
    </row>
    <row r="173" spans="5:8" s="21" customFormat="1" ht="12.75" x14ac:dyDescent="0.25">
      <c r="E173" s="30"/>
      <c r="F173" s="30"/>
      <c r="G173" s="30"/>
      <c r="H173" s="30"/>
    </row>
    <row r="174" spans="5:8" s="21" customFormat="1" ht="12.75" x14ac:dyDescent="0.25">
      <c r="E174" s="30"/>
      <c r="F174" s="30"/>
      <c r="G174" s="30"/>
      <c r="H174" s="30"/>
    </row>
    <row r="175" spans="5:8" s="21" customFormat="1" ht="12.75" x14ac:dyDescent="0.25">
      <c r="E175" s="30"/>
      <c r="F175" s="30"/>
      <c r="G175" s="30"/>
      <c r="H175" s="30"/>
    </row>
    <row r="176" spans="5:8" s="21" customFormat="1" ht="12.75" x14ac:dyDescent="0.25">
      <c r="E176" s="30"/>
      <c r="F176" s="30"/>
      <c r="G176" s="30"/>
      <c r="H176" s="30"/>
    </row>
    <row r="177" spans="5:8" s="21" customFormat="1" ht="12.75" x14ac:dyDescent="0.25">
      <c r="E177" s="30"/>
      <c r="F177" s="30"/>
      <c r="G177" s="30"/>
      <c r="H177" s="30"/>
    </row>
    <row r="178" spans="5:8" s="21" customFormat="1" ht="12.75" x14ac:dyDescent="0.25">
      <c r="E178" s="30"/>
      <c r="F178" s="30"/>
      <c r="G178" s="30"/>
      <c r="H178" s="30"/>
    </row>
    <row r="179" spans="5:8" s="21" customFormat="1" ht="12.75" x14ac:dyDescent="0.25">
      <c r="E179" s="30"/>
      <c r="F179" s="30"/>
      <c r="G179" s="30"/>
      <c r="H179" s="30"/>
    </row>
    <row r="180" spans="5:8" s="21" customFormat="1" ht="12.75" x14ac:dyDescent="0.25">
      <c r="E180" s="30"/>
      <c r="F180" s="30"/>
      <c r="G180" s="30"/>
      <c r="H180" s="30"/>
    </row>
    <row r="181" spans="5:8" s="21" customFormat="1" ht="12.75" x14ac:dyDescent="0.25">
      <c r="E181" s="30"/>
      <c r="F181" s="30"/>
      <c r="G181" s="30"/>
      <c r="H181" s="30"/>
    </row>
    <row r="182" spans="5:8" s="21" customFormat="1" ht="12.75" x14ac:dyDescent="0.25">
      <c r="E182" s="30"/>
      <c r="F182" s="30"/>
      <c r="G182" s="30"/>
      <c r="H182" s="30"/>
    </row>
    <row r="183" spans="5:8" s="21" customFormat="1" ht="12.75" x14ac:dyDescent="0.25">
      <c r="E183" s="30"/>
      <c r="F183" s="30"/>
      <c r="G183" s="30"/>
      <c r="H183" s="30"/>
    </row>
    <row r="184" spans="5:8" s="21" customFormat="1" ht="12.75" x14ac:dyDescent="0.25">
      <c r="E184" s="30"/>
      <c r="F184" s="30"/>
      <c r="G184" s="30"/>
      <c r="H184" s="30"/>
    </row>
    <row r="185" spans="5:8" s="21" customFormat="1" ht="12.75" x14ac:dyDescent="0.25">
      <c r="E185" s="30"/>
      <c r="F185" s="30"/>
      <c r="G185" s="30"/>
      <c r="H185" s="30"/>
    </row>
    <row r="186" spans="5:8" s="21" customFormat="1" ht="12.75" x14ac:dyDescent="0.25">
      <c r="E186" s="30"/>
      <c r="F186" s="30"/>
      <c r="G186" s="30"/>
      <c r="H186" s="30"/>
    </row>
    <row r="187" spans="5:8" s="21" customFormat="1" ht="12.75" x14ac:dyDescent="0.25">
      <c r="E187" s="30"/>
      <c r="F187" s="30"/>
      <c r="G187" s="30"/>
      <c r="H187" s="30"/>
    </row>
    <row r="188" spans="5:8" s="21" customFormat="1" ht="12.75" x14ac:dyDescent="0.25">
      <c r="E188" s="30"/>
      <c r="F188" s="30"/>
      <c r="G188" s="30"/>
      <c r="H188" s="30"/>
    </row>
    <row r="189" spans="5:8" s="21" customFormat="1" ht="12.75" x14ac:dyDescent="0.25">
      <c r="E189" s="30"/>
      <c r="F189" s="30"/>
      <c r="G189" s="30"/>
      <c r="H189" s="30"/>
    </row>
    <row r="190" spans="5:8" s="21" customFormat="1" ht="12.75" x14ac:dyDescent="0.25">
      <c r="E190" s="30"/>
      <c r="F190" s="30"/>
      <c r="G190" s="30"/>
      <c r="H190" s="30"/>
    </row>
    <row r="191" spans="5:8" s="21" customFormat="1" ht="12.75" x14ac:dyDescent="0.25">
      <c r="E191" s="30"/>
      <c r="F191" s="30"/>
      <c r="G191" s="30"/>
      <c r="H191" s="30"/>
    </row>
    <row r="192" spans="5:8" s="21" customFormat="1" ht="12.75" x14ac:dyDescent="0.25">
      <c r="E192" s="30"/>
      <c r="F192" s="30"/>
      <c r="G192" s="30"/>
      <c r="H192" s="30"/>
    </row>
    <row r="193" spans="5:8" s="21" customFormat="1" ht="12.75" x14ac:dyDescent="0.25">
      <c r="E193" s="30"/>
      <c r="F193" s="30"/>
      <c r="G193" s="30"/>
      <c r="H193" s="30"/>
    </row>
    <row r="194" spans="5:8" s="21" customFormat="1" ht="12.75" x14ac:dyDescent="0.25">
      <c r="E194" s="30"/>
      <c r="F194" s="30"/>
      <c r="G194" s="30"/>
      <c r="H194" s="30"/>
    </row>
    <row r="195" spans="5:8" s="21" customFormat="1" ht="12.75" x14ac:dyDescent="0.25">
      <c r="E195" s="30"/>
      <c r="F195" s="30"/>
      <c r="G195" s="30"/>
      <c r="H195" s="30"/>
    </row>
    <row r="196" spans="5:8" s="21" customFormat="1" ht="12.75" x14ac:dyDescent="0.25">
      <c r="E196" s="30"/>
      <c r="F196" s="30"/>
      <c r="G196" s="30"/>
      <c r="H196" s="30"/>
    </row>
    <row r="197" spans="5:8" s="21" customFormat="1" ht="12.75" x14ac:dyDescent="0.25">
      <c r="E197" s="30"/>
      <c r="F197" s="30"/>
      <c r="G197" s="30"/>
      <c r="H197" s="30"/>
    </row>
    <row r="198" spans="5:8" s="21" customFormat="1" ht="12.75" x14ac:dyDescent="0.25">
      <c r="E198" s="30"/>
      <c r="F198" s="30"/>
      <c r="G198" s="30"/>
      <c r="H198" s="30"/>
    </row>
    <row r="199" spans="5:8" s="21" customFormat="1" ht="12.75" x14ac:dyDescent="0.25">
      <c r="E199" s="30"/>
      <c r="F199" s="30"/>
      <c r="G199" s="30"/>
      <c r="H199" s="30"/>
    </row>
    <row r="200" spans="5:8" s="21" customFormat="1" ht="12.75" x14ac:dyDescent="0.25">
      <c r="E200" s="30"/>
      <c r="F200" s="30"/>
      <c r="G200" s="30"/>
      <c r="H200" s="30"/>
    </row>
    <row r="201" spans="5:8" s="21" customFormat="1" ht="12.75" x14ac:dyDescent="0.25">
      <c r="E201" s="30"/>
      <c r="F201" s="30"/>
      <c r="G201" s="30"/>
      <c r="H201" s="30"/>
    </row>
    <row r="202" spans="5:8" s="21" customFormat="1" ht="12.75" x14ac:dyDescent="0.25">
      <c r="E202" s="30"/>
      <c r="F202" s="30"/>
      <c r="G202" s="30"/>
      <c r="H202" s="30"/>
    </row>
    <row r="203" spans="5:8" s="21" customFormat="1" ht="12.75" x14ac:dyDescent="0.25">
      <c r="E203" s="30"/>
      <c r="F203" s="30"/>
      <c r="G203" s="30"/>
      <c r="H203" s="30"/>
    </row>
    <row r="204" spans="5:8" s="21" customFormat="1" ht="12.75" x14ac:dyDescent="0.25">
      <c r="E204" s="30"/>
      <c r="F204" s="30"/>
      <c r="G204" s="30"/>
      <c r="H204" s="30"/>
    </row>
    <row r="205" spans="5:8" s="21" customFormat="1" ht="12.75" x14ac:dyDescent="0.25">
      <c r="E205" s="30"/>
      <c r="F205" s="30"/>
      <c r="G205" s="30"/>
      <c r="H205" s="30"/>
    </row>
    <row r="206" spans="5:8" s="21" customFormat="1" ht="12.75" x14ac:dyDescent="0.25">
      <c r="E206" s="30"/>
      <c r="F206" s="30"/>
      <c r="G206" s="30"/>
      <c r="H206" s="30"/>
    </row>
    <row r="207" spans="5:8" s="21" customFormat="1" ht="12.75" x14ac:dyDescent="0.25">
      <c r="E207" s="30"/>
      <c r="F207" s="30"/>
      <c r="G207" s="30"/>
      <c r="H207" s="30"/>
    </row>
    <row r="208" spans="5:8" s="21" customFormat="1" ht="12.75" x14ac:dyDescent="0.25">
      <c r="E208" s="30"/>
      <c r="F208" s="30"/>
      <c r="G208" s="30"/>
      <c r="H208" s="30"/>
    </row>
    <row r="209" spans="5:8" s="21" customFormat="1" ht="12.75" x14ac:dyDescent="0.25">
      <c r="E209" s="30"/>
      <c r="F209" s="30"/>
      <c r="G209" s="30"/>
      <c r="H209" s="30"/>
    </row>
    <row r="210" spans="5:8" s="21" customFormat="1" ht="12.75" x14ac:dyDescent="0.25">
      <c r="E210" s="30"/>
      <c r="F210" s="30"/>
      <c r="G210" s="30"/>
      <c r="H210" s="30"/>
    </row>
    <row r="211" spans="5:8" s="21" customFormat="1" ht="12.75" x14ac:dyDescent="0.25">
      <c r="E211" s="30"/>
      <c r="F211" s="30"/>
      <c r="G211" s="30"/>
      <c r="H211" s="30"/>
    </row>
    <row r="212" spans="5:8" s="21" customFormat="1" ht="12.75" x14ac:dyDescent="0.25">
      <c r="E212" s="30"/>
      <c r="F212" s="30"/>
      <c r="G212" s="30"/>
      <c r="H212" s="30"/>
    </row>
    <row r="213" spans="5:8" s="21" customFormat="1" ht="12.75" x14ac:dyDescent="0.25">
      <c r="E213" s="30"/>
      <c r="F213" s="30"/>
      <c r="G213" s="30"/>
      <c r="H213" s="30"/>
    </row>
    <row r="214" spans="5:8" s="21" customFormat="1" ht="12.75" x14ac:dyDescent="0.25">
      <c r="E214" s="30"/>
      <c r="F214" s="30"/>
      <c r="G214" s="30"/>
      <c r="H214" s="30"/>
    </row>
    <row r="215" spans="5:8" s="21" customFormat="1" ht="12.75" x14ac:dyDescent="0.25">
      <c r="E215" s="30"/>
      <c r="F215" s="30"/>
      <c r="G215" s="30"/>
      <c r="H215" s="30"/>
    </row>
    <row r="216" spans="5:8" s="21" customFormat="1" ht="12.75" x14ac:dyDescent="0.25">
      <c r="E216" s="30"/>
      <c r="F216" s="30"/>
      <c r="G216" s="30"/>
      <c r="H216" s="30"/>
    </row>
    <row r="217" spans="5:8" s="21" customFormat="1" ht="12.75" x14ac:dyDescent="0.25">
      <c r="E217" s="30"/>
      <c r="F217" s="30"/>
      <c r="G217" s="30"/>
      <c r="H217" s="30"/>
    </row>
    <row r="218" spans="5:8" s="21" customFormat="1" ht="12.75" x14ac:dyDescent="0.25">
      <c r="E218" s="30"/>
      <c r="F218" s="30"/>
      <c r="G218" s="30"/>
      <c r="H218" s="30"/>
    </row>
    <row r="219" spans="5:8" s="21" customFormat="1" ht="12.75" x14ac:dyDescent="0.25">
      <c r="E219" s="30"/>
      <c r="F219" s="30"/>
      <c r="G219" s="30"/>
      <c r="H219" s="30"/>
    </row>
    <row r="220" spans="5:8" s="21" customFormat="1" ht="12.75" x14ac:dyDescent="0.25">
      <c r="E220" s="30"/>
      <c r="F220" s="30"/>
      <c r="G220" s="30"/>
      <c r="H220" s="30"/>
    </row>
    <row r="221" spans="5:8" s="21" customFormat="1" ht="12.75" x14ac:dyDescent="0.25">
      <c r="E221" s="30"/>
      <c r="F221" s="30"/>
      <c r="G221" s="30"/>
      <c r="H221" s="30"/>
    </row>
    <row r="222" spans="5:8" s="21" customFormat="1" ht="12.75" x14ac:dyDescent="0.25">
      <c r="E222" s="30"/>
      <c r="F222" s="30"/>
      <c r="G222" s="30"/>
      <c r="H222" s="30"/>
    </row>
    <row r="223" spans="5:8" s="21" customFormat="1" ht="12.75" x14ac:dyDescent="0.25">
      <c r="E223" s="30"/>
      <c r="F223" s="30"/>
      <c r="G223" s="30"/>
      <c r="H223" s="30"/>
    </row>
    <row r="224" spans="5:8" s="21" customFormat="1" ht="12.75" x14ac:dyDescent="0.25">
      <c r="E224" s="30"/>
      <c r="F224" s="30"/>
      <c r="G224" s="30"/>
      <c r="H224" s="30"/>
    </row>
    <row r="225" spans="5:8" s="21" customFormat="1" ht="12.75" x14ac:dyDescent="0.25">
      <c r="E225" s="30"/>
      <c r="F225" s="30"/>
      <c r="G225" s="30"/>
      <c r="H225" s="30"/>
    </row>
    <row r="226" spans="5:8" s="21" customFormat="1" ht="12.75" x14ac:dyDescent="0.25">
      <c r="E226" s="30"/>
      <c r="F226" s="30"/>
      <c r="G226" s="30"/>
      <c r="H226" s="30"/>
    </row>
    <row r="227" spans="5:8" s="21" customFormat="1" ht="12.75" x14ac:dyDescent="0.25">
      <c r="E227" s="30"/>
      <c r="F227" s="30"/>
      <c r="G227" s="30"/>
      <c r="H227" s="30"/>
    </row>
    <row r="228" spans="5:8" s="21" customFormat="1" ht="12.75" x14ac:dyDescent="0.25">
      <c r="E228" s="30"/>
      <c r="F228" s="30"/>
      <c r="G228" s="30"/>
      <c r="H228" s="30"/>
    </row>
    <row r="229" spans="5:8" s="21" customFormat="1" ht="12.75" x14ac:dyDescent="0.25">
      <c r="E229" s="30"/>
      <c r="F229" s="30"/>
      <c r="G229" s="30"/>
      <c r="H229" s="30"/>
    </row>
    <row r="230" spans="5:8" s="21" customFormat="1" ht="12.75" x14ac:dyDescent="0.25">
      <c r="E230" s="30"/>
      <c r="F230" s="30"/>
      <c r="G230" s="30"/>
      <c r="H230" s="30"/>
    </row>
    <row r="231" spans="5:8" s="21" customFormat="1" ht="12.75" x14ac:dyDescent="0.25">
      <c r="E231" s="30"/>
      <c r="F231" s="30"/>
      <c r="G231" s="30"/>
      <c r="H231" s="30"/>
    </row>
    <row r="232" spans="5:8" s="21" customFormat="1" ht="12.75" x14ac:dyDescent="0.25">
      <c r="E232" s="30"/>
      <c r="F232" s="30"/>
      <c r="G232" s="30"/>
      <c r="H232" s="30"/>
    </row>
    <row r="233" spans="5:8" s="21" customFormat="1" ht="12.75" x14ac:dyDescent="0.25">
      <c r="E233" s="30"/>
      <c r="F233" s="30"/>
      <c r="G233" s="30"/>
      <c r="H233" s="30"/>
    </row>
    <row r="234" spans="5:8" s="21" customFormat="1" ht="12.75" x14ac:dyDescent="0.25">
      <c r="E234" s="30"/>
      <c r="F234" s="30"/>
      <c r="G234" s="30"/>
      <c r="H234" s="30"/>
    </row>
    <row r="235" spans="5:8" s="21" customFormat="1" ht="12.75" x14ac:dyDescent="0.25">
      <c r="E235" s="30"/>
      <c r="F235" s="30"/>
      <c r="G235" s="30"/>
      <c r="H235" s="30"/>
    </row>
    <row r="236" spans="5:8" s="21" customFormat="1" ht="12.75" x14ac:dyDescent="0.25">
      <c r="E236" s="30"/>
      <c r="F236" s="30"/>
      <c r="G236" s="30"/>
      <c r="H236" s="30"/>
    </row>
    <row r="237" spans="5:8" s="21" customFormat="1" ht="12.75" x14ac:dyDescent="0.25">
      <c r="E237" s="30"/>
      <c r="F237" s="30"/>
      <c r="G237" s="30"/>
      <c r="H237" s="30"/>
    </row>
    <row r="238" spans="5:8" s="21" customFormat="1" ht="12.75" x14ac:dyDescent="0.25">
      <c r="E238" s="30"/>
      <c r="F238" s="30"/>
      <c r="G238" s="30"/>
      <c r="H238" s="30"/>
    </row>
    <row r="239" spans="5:8" s="21" customFormat="1" ht="12.75" x14ac:dyDescent="0.25">
      <c r="E239" s="30"/>
      <c r="F239" s="30"/>
      <c r="G239" s="30"/>
      <c r="H239" s="30"/>
    </row>
    <row r="240" spans="5:8" s="21" customFormat="1" ht="12.75" x14ac:dyDescent="0.25">
      <c r="E240" s="30"/>
      <c r="F240" s="30"/>
      <c r="G240" s="30"/>
      <c r="H240" s="30"/>
    </row>
    <row r="241" spans="5:8" s="21" customFormat="1" ht="12.75" x14ac:dyDescent="0.25">
      <c r="E241" s="30"/>
      <c r="F241" s="30"/>
      <c r="G241" s="30"/>
      <c r="H241" s="30"/>
    </row>
    <row r="242" spans="5:8" s="21" customFormat="1" ht="12.75" x14ac:dyDescent="0.25">
      <c r="E242" s="30"/>
      <c r="F242" s="30"/>
      <c r="G242" s="30"/>
      <c r="H242" s="30"/>
    </row>
    <row r="243" spans="5:8" s="21" customFormat="1" ht="12.75" x14ac:dyDescent="0.25">
      <c r="E243" s="30"/>
      <c r="F243" s="30"/>
      <c r="G243" s="30"/>
      <c r="H243" s="30"/>
    </row>
    <row r="244" spans="5:8" s="21" customFormat="1" ht="12.75" x14ac:dyDescent="0.25">
      <c r="E244" s="30"/>
      <c r="F244" s="30"/>
      <c r="G244" s="30"/>
      <c r="H244" s="30"/>
    </row>
    <row r="245" spans="5:8" s="21" customFormat="1" ht="12.75" x14ac:dyDescent="0.25">
      <c r="E245" s="30"/>
      <c r="F245" s="30"/>
      <c r="G245" s="30"/>
      <c r="H245" s="30"/>
    </row>
    <row r="246" spans="5:8" s="21" customFormat="1" ht="12.75" x14ac:dyDescent="0.25">
      <c r="E246" s="30"/>
      <c r="F246" s="30"/>
      <c r="G246" s="30"/>
      <c r="H246" s="30"/>
    </row>
  </sheetData>
  <mergeCells count="55">
    <mergeCell ref="H101:J101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A80:J80"/>
    <mergeCell ref="A81:J81"/>
    <mergeCell ref="H85:J85"/>
    <mergeCell ref="H86:J86"/>
    <mergeCell ref="H87:J87"/>
    <mergeCell ref="H88:J88"/>
    <mergeCell ref="B57:B58"/>
    <mergeCell ref="A64:A70"/>
    <mergeCell ref="B64:B70"/>
    <mergeCell ref="A73:A77"/>
    <mergeCell ref="B73:B77"/>
    <mergeCell ref="A78:A79"/>
    <mergeCell ref="B78:B79"/>
    <mergeCell ref="A24:A34"/>
    <mergeCell ref="B24:B34"/>
    <mergeCell ref="A36:A37"/>
    <mergeCell ref="B36:B37"/>
    <mergeCell ref="A39:A55"/>
    <mergeCell ref="B39:B55"/>
    <mergeCell ref="A16:J16"/>
    <mergeCell ref="A17:K17"/>
    <mergeCell ref="A18:A20"/>
    <mergeCell ref="B18:B20"/>
    <mergeCell ref="A22:J22"/>
    <mergeCell ref="A23:K23"/>
    <mergeCell ref="G5:G6"/>
    <mergeCell ref="H5:J5"/>
    <mergeCell ref="A8:K8"/>
    <mergeCell ref="A10:A12"/>
    <mergeCell ref="B10:B12"/>
    <mergeCell ref="A13:A15"/>
    <mergeCell ref="B13:B15"/>
    <mergeCell ref="A1:K1"/>
    <mergeCell ref="A3:A6"/>
    <mergeCell ref="B3:B6"/>
    <mergeCell ref="C3:C6"/>
    <mergeCell ref="D3:D6"/>
    <mergeCell ref="E3:J3"/>
    <mergeCell ref="K3:K6"/>
    <mergeCell ref="E4:E6"/>
    <mergeCell ref="F4:J4"/>
    <mergeCell ref="F5:F6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outlinePr summaryBelow="0" summaryRight="0"/>
    <pageSetUpPr fitToPage="1"/>
  </sheetPr>
  <dimension ref="A1:M142"/>
  <sheetViews>
    <sheetView view="pageBreakPreview" topLeftCell="A3" zoomScale="85" zoomScaleNormal="85" zoomScaleSheetLayoutView="85" zoomScalePageLayoutView="115" workbookViewId="0">
      <pane ySplit="6" topLeftCell="A9" activePane="bottomLeft" state="frozen"/>
      <selection activeCell="A3" sqref="A3"/>
      <selection pane="bottomLeft" activeCell="H62" sqref="H62"/>
    </sheetView>
  </sheetViews>
  <sheetFormatPr defaultRowHeight="15" outlineLevelRow="2" x14ac:dyDescent="0.25"/>
  <cols>
    <col min="1" max="1" width="8.85546875" style="14" customWidth="1"/>
    <col min="2" max="2" width="46" style="2" customWidth="1"/>
    <col min="3" max="3" width="13.7109375" style="2" customWidth="1"/>
    <col min="4" max="4" width="15.7109375" style="2" customWidth="1"/>
    <col min="5" max="5" width="11.28515625" style="2" customWidth="1"/>
    <col min="6" max="7" width="12.7109375" style="2" bestFit="1" customWidth="1"/>
    <col min="8" max="8" width="11.5703125" style="2" customWidth="1"/>
    <col min="9" max="9" width="35.7109375" style="2" customWidth="1"/>
    <col min="10" max="10" width="8.85546875" style="2" customWidth="1"/>
    <col min="11" max="12" width="9.42578125" style="2" bestFit="1" customWidth="1"/>
    <col min="13" max="13" width="12.140625" style="2" customWidth="1"/>
    <col min="14" max="16384" width="9.140625" style="2"/>
  </cols>
  <sheetData>
    <row r="1" spans="1:13" ht="53.25" hidden="1" customHeight="1" x14ac:dyDescent="0.25">
      <c r="I1" s="13"/>
      <c r="J1" s="157" t="s">
        <v>125</v>
      </c>
      <c r="K1" s="158"/>
      <c r="L1" s="158"/>
      <c r="M1" s="159"/>
    </row>
    <row r="2" spans="1:13" ht="9" hidden="1" customHeight="1" x14ac:dyDescent="0.25">
      <c r="J2" s="13"/>
      <c r="K2" s="13"/>
      <c r="L2" s="13"/>
      <c r="M2" s="13"/>
    </row>
    <row r="3" spans="1:13" s="6" customFormat="1" ht="16.5" customHeight="1" x14ac:dyDescent="0.3">
      <c r="A3" s="160" t="s">
        <v>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9" customHeight="1" x14ac:dyDescent="0.25"/>
    <row r="5" spans="1:13" ht="15.75" customHeight="1" x14ac:dyDescent="0.25">
      <c r="A5" s="162" t="s">
        <v>0</v>
      </c>
      <c r="B5" s="161" t="s">
        <v>46</v>
      </c>
      <c r="C5" s="161" t="s">
        <v>2</v>
      </c>
      <c r="D5" s="161" t="s">
        <v>3</v>
      </c>
      <c r="E5" s="161" t="s">
        <v>4</v>
      </c>
      <c r="F5" s="161"/>
      <c r="G5" s="161"/>
      <c r="H5" s="161"/>
      <c r="I5" s="161" t="s">
        <v>5</v>
      </c>
      <c r="J5" s="161"/>
      <c r="K5" s="161"/>
      <c r="L5" s="161"/>
      <c r="M5" s="161"/>
    </row>
    <row r="6" spans="1:13" x14ac:dyDescent="0.25">
      <c r="A6" s="162"/>
      <c r="B6" s="161"/>
      <c r="C6" s="161"/>
      <c r="D6" s="161"/>
      <c r="E6" s="161" t="s">
        <v>6</v>
      </c>
      <c r="F6" s="161" t="s">
        <v>7</v>
      </c>
      <c r="G6" s="161"/>
      <c r="H6" s="161"/>
      <c r="I6" s="161"/>
      <c r="J6" s="161"/>
      <c r="K6" s="161"/>
      <c r="L6" s="161"/>
      <c r="M6" s="161"/>
    </row>
    <row r="7" spans="1:13" x14ac:dyDescent="0.25">
      <c r="A7" s="162"/>
      <c r="B7" s="161"/>
      <c r="C7" s="161"/>
      <c r="D7" s="161"/>
      <c r="E7" s="161"/>
      <c r="F7" s="1">
        <v>2014</v>
      </c>
      <c r="G7" s="1">
        <v>2015</v>
      </c>
      <c r="H7" s="1">
        <v>2016</v>
      </c>
      <c r="I7" s="1" t="s">
        <v>1</v>
      </c>
      <c r="J7" s="1" t="s">
        <v>8</v>
      </c>
      <c r="K7" s="1">
        <v>2014</v>
      </c>
      <c r="L7" s="1">
        <v>2015</v>
      </c>
      <c r="M7" s="1">
        <v>2016</v>
      </c>
    </row>
    <row r="8" spans="1:13" ht="12" customHeight="1" x14ac:dyDescent="0.25">
      <c r="A8" s="15">
        <v>1</v>
      </c>
      <c r="B8" s="1">
        <v>2</v>
      </c>
      <c r="C8" s="1">
        <v>3</v>
      </c>
      <c r="D8" s="1"/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</row>
    <row r="9" spans="1:13" ht="27" customHeight="1" x14ac:dyDescent="0.25">
      <c r="A9" s="146" t="s">
        <v>47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x14ac:dyDescent="0.25">
      <c r="A10" s="16"/>
      <c r="B10" s="146" t="s">
        <v>131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s="6" customFormat="1" ht="14.25" customHeight="1" x14ac:dyDescent="0.2">
      <c r="A11" s="117" t="s">
        <v>132</v>
      </c>
      <c r="B11" s="120" t="s">
        <v>130</v>
      </c>
      <c r="C11" s="146"/>
      <c r="D11" s="3" t="s">
        <v>6</v>
      </c>
      <c r="E11" s="7">
        <f>SUM(F11:H11)</f>
        <v>10831717</v>
      </c>
      <c r="F11" s="7">
        <f>SUM(F12:F13)</f>
        <v>5271197</v>
      </c>
      <c r="G11" s="7">
        <f>SUM(G12:G13)</f>
        <v>3415930</v>
      </c>
      <c r="H11" s="7">
        <f>SUM(H12:H13)</f>
        <v>2144590</v>
      </c>
      <c r="I11" s="132" t="s">
        <v>100</v>
      </c>
      <c r="J11" s="129" t="s">
        <v>9</v>
      </c>
      <c r="K11" s="129" t="s">
        <v>101</v>
      </c>
      <c r="L11" s="129" t="s">
        <v>102</v>
      </c>
      <c r="M11" s="114" t="s">
        <v>102</v>
      </c>
    </row>
    <row r="12" spans="1:13" s="6" customFormat="1" ht="14.25" customHeight="1" x14ac:dyDescent="0.2">
      <c r="A12" s="140"/>
      <c r="B12" s="138"/>
      <c r="C12" s="146"/>
      <c r="D12" s="3" t="s">
        <v>10</v>
      </c>
      <c r="E12" s="7">
        <f t="shared" ref="E12:E49" si="0">SUM(F12:H12)</f>
        <v>1160100</v>
      </c>
      <c r="F12" s="7">
        <f t="shared" ref="F12:H13" si="1">F15+F24+F39+F45</f>
        <v>625000</v>
      </c>
      <c r="G12" s="7">
        <f t="shared" si="1"/>
        <v>535100</v>
      </c>
      <c r="H12" s="7">
        <f t="shared" si="1"/>
        <v>0</v>
      </c>
      <c r="I12" s="133"/>
      <c r="J12" s="130"/>
      <c r="K12" s="130"/>
      <c r="L12" s="130"/>
      <c r="M12" s="115"/>
    </row>
    <row r="13" spans="1:13" s="6" customFormat="1" ht="14.25" customHeight="1" x14ac:dyDescent="0.2">
      <c r="A13" s="141"/>
      <c r="B13" s="139"/>
      <c r="C13" s="146"/>
      <c r="D13" s="3" t="s">
        <v>11</v>
      </c>
      <c r="E13" s="7">
        <f t="shared" si="0"/>
        <v>9671617</v>
      </c>
      <c r="F13" s="7">
        <f t="shared" si="1"/>
        <v>4646197</v>
      </c>
      <c r="G13" s="7">
        <f t="shared" si="1"/>
        <v>2880830</v>
      </c>
      <c r="H13" s="7">
        <f t="shared" si="1"/>
        <v>2144590</v>
      </c>
      <c r="I13" s="134"/>
      <c r="J13" s="131"/>
      <c r="K13" s="131"/>
      <c r="L13" s="131"/>
      <c r="M13" s="116"/>
    </row>
    <row r="14" spans="1:13" s="6" customFormat="1" ht="14.25" customHeight="1" outlineLevel="1" x14ac:dyDescent="0.2">
      <c r="A14" s="117" t="s">
        <v>104</v>
      </c>
      <c r="B14" s="120" t="s">
        <v>61</v>
      </c>
      <c r="C14" s="123"/>
      <c r="D14" s="3" t="s">
        <v>6</v>
      </c>
      <c r="E14" s="7">
        <f>SUM(F14:H14)</f>
        <v>3025525</v>
      </c>
      <c r="F14" s="7">
        <f>SUM(F15:F16)</f>
        <v>1256095</v>
      </c>
      <c r="G14" s="7">
        <f>SUM(G15:G16)</f>
        <v>785830</v>
      </c>
      <c r="H14" s="7">
        <f>SUM(H15:H16)</f>
        <v>983600</v>
      </c>
      <c r="I14" s="126" t="s">
        <v>100</v>
      </c>
      <c r="J14" s="129" t="s">
        <v>9</v>
      </c>
      <c r="K14" s="129" t="s">
        <v>101</v>
      </c>
      <c r="L14" s="129" t="s">
        <v>102</v>
      </c>
      <c r="M14" s="114" t="s">
        <v>102</v>
      </c>
    </row>
    <row r="15" spans="1:13" s="6" customFormat="1" ht="14.25" customHeight="1" outlineLevel="1" x14ac:dyDescent="0.2">
      <c r="A15" s="118"/>
      <c r="B15" s="121"/>
      <c r="C15" s="124"/>
      <c r="D15" s="3" t="s">
        <v>10</v>
      </c>
      <c r="E15" s="7">
        <f t="shared" si="0"/>
        <v>0</v>
      </c>
      <c r="F15" s="7">
        <f t="shared" ref="F15:H16" si="2">F18+F21</f>
        <v>0</v>
      </c>
      <c r="G15" s="7">
        <f t="shared" si="2"/>
        <v>0</v>
      </c>
      <c r="H15" s="7">
        <f t="shared" si="2"/>
        <v>0</v>
      </c>
      <c r="I15" s="127"/>
      <c r="J15" s="130"/>
      <c r="K15" s="130"/>
      <c r="L15" s="130"/>
      <c r="M15" s="115"/>
    </row>
    <row r="16" spans="1:13" s="6" customFormat="1" ht="14.25" customHeight="1" outlineLevel="1" collapsed="1" x14ac:dyDescent="0.2">
      <c r="A16" s="119"/>
      <c r="B16" s="122"/>
      <c r="C16" s="125"/>
      <c r="D16" s="3" t="s">
        <v>11</v>
      </c>
      <c r="E16" s="7">
        <f t="shared" si="0"/>
        <v>3025525</v>
      </c>
      <c r="F16" s="7">
        <f t="shared" si="2"/>
        <v>1256095</v>
      </c>
      <c r="G16" s="7">
        <f t="shared" si="2"/>
        <v>785830</v>
      </c>
      <c r="H16" s="7">
        <f t="shared" si="2"/>
        <v>983600</v>
      </c>
      <c r="I16" s="128"/>
      <c r="J16" s="131"/>
      <c r="K16" s="131"/>
      <c r="L16" s="131"/>
      <c r="M16" s="116"/>
    </row>
    <row r="17" spans="1:13" ht="25.5" hidden="1" customHeight="1" outlineLevel="2" x14ac:dyDescent="0.25">
      <c r="A17" s="135" t="s">
        <v>48</v>
      </c>
      <c r="B17" s="163" t="s">
        <v>12</v>
      </c>
      <c r="C17" s="145" t="s">
        <v>75</v>
      </c>
      <c r="D17" s="3" t="s">
        <v>6</v>
      </c>
      <c r="E17" s="7">
        <f>SUM(F17:H17)</f>
        <v>480000</v>
      </c>
      <c r="F17" s="7">
        <f>SUM(F18:F19)</f>
        <v>200000</v>
      </c>
      <c r="G17" s="7">
        <f>SUM(G18:G19)</f>
        <v>100000</v>
      </c>
      <c r="H17" s="19">
        <v>180000</v>
      </c>
      <c r="I17" s="132" t="s">
        <v>13</v>
      </c>
      <c r="J17" s="129" t="s">
        <v>9</v>
      </c>
      <c r="K17" s="129">
        <v>100</v>
      </c>
      <c r="L17" s="129">
        <v>100</v>
      </c>
      <c r="M17" s="129">
        <v>100</v>
      </c>
    </row>
    <row r="18" spans="1:13" ht="25.5" hidden="1" customHeight="1" outlineLevel="2" x14ac:dyDescent="0.25">
      <c r="A18" s="136"/>
      <c r="B18" s="163"/>
      <c r="C18" s="145"/>
      <c r="D18" s="4" t="s">
        <v>10</v>
      </c>
      <c r="E18" s="5">
        <f t="shared" si="0"/>
        <v>0</v>
      </c>
      <c r="F18" s="5">
        <v>0</v>
      </c>
      <c r="G18" s="5">
        <v>0</v>
      </c>
      <c r="H18" s="5">
        <v>0</v>
      </c>
      <c r="I18" s="133"/>
      <c r="J18" s="130"/>
      <c r="K18" s="130"/>
      <c r="L18" s="130"/>
      <c r="M18" s="130"/>
    </row>
    <row r="19" spans="1:13" ht="25.5" hidden="1" customHeight="1" outlineLevel="2" x14ac:dyDescent="0.25">
      <c r="A19" s="137"/>
      <c r="B19" s="163"/>
      <c r="C19" s="145"/>
      <c r="D19" s="4" t="s">
        <v>11</v>
      </c>
      <c r="E19" s="5">
        <f t="shared" si="0"/>
        <v>480000</v>
      </c>
      <c r="F19" s="5">
        <v>200000</v>
      </c>
      <c r="G19" s="5">
        <v>100000</v>
      </c>
      <c r="H19" s="18">
        <v>180000</v>
      </c>
      <c r="I19" s="134"/>
      <c r="J19" s="131"/>
      <c r="K19" s="131"/>
      <c r="L19" s="131"/>
      <c r="M19" s="131"/>
    </row>
    <row r="20" spans="1:13" ht="30" hidden="1" customHeight="1" outlineLevel="2" x14ac:dyDescent="0.25">
      <c r="A20" s="135" t="s">
        <v>49</v>
      </c>
      <c r="B20" s="163" t="s">
        <v>14</v>
      </c>
      <c r="C20" s="145" t="s">
        <v>75</v>
      </c>
      <c r="D20" s="3" t="s">
        <v>6</v>
      </c>
      <c r="E20" s="7">
        <f>SUM(F20:H20)</f>
        <v>2361925</v>
      </c>
      <c r="F20" s="7">
        <f>SUM(F21:F22)</f>
        <v>1056095</v>
      </c>
      <c r="G20" s="7">
        <f>SUM(G21:G22)</f>
        <v>685830</v>
      </c>
      <c r="H20" s="7">
        <v>620000</v>
      </c>
      <c r="I20" s="132" t="s">
        <v>16</v>
      </c>
      <c r="J20" s="129" t="s">
        <v>77</v>
      </c>
      <c r="K20" s="129">
        <v>12</v>
      </c>
      <c r="L20" s="129">
        <v>16</v>
      </c>
      <c r="M20" s="129">
        <v>18</v>
      </c>
    </row>
    <row r="21" spans="1:13" ht="30" hidden="1" customHeight="1" outlineLevel="2" x14ac:dyDescent="0.25">
      <c r="A21" s="136"/>
      <c r="B21" s="163"/>
      <c r="C21" s="145"/>
      <c r="D21" s="4" t="s">
        <v>10</v>
      </c>
      <c r="E21" s="5">
        <f t="shared" si="0"/>
        <v>0</v>
      </c>
      <c r="F21" s="5">
        <v>0</v>
      </c>
      <c r="G21" s="5">
        <v>0</v>
      </c>
      <c r="H21" s="5">
        <v>0</v>
      </c>
      <c r="I21" s="133"/>
      <c r="J21" s="130"/>
      <c r="K21" s="130"/>
      <c r="L21" s="130"/>
      <c r="M21" s="130"/>
    </row>
    <row r="22" spans="1:13" ht="30" hidden="1" customHeight="1" outlineLevel="2" x14ac:dyDescent="0.25">
      <c r="A22" s="137"/>
      <c r="B22" s="163"/>
      <c r="C22" s="145"/>
      <c r="D22" s="4" t="s">
        <v>11</v>
      </c>
      <c r="E22" s="5">
        <f t="shared" si="0"/>
        <v>2545525</v>
      </c>
      <c r="F22" s="5">
        <v>1056095</v>
      </c>
      <c r="G22" s="5">
        <f>667330+18500</f>
        <v>685830</v>
      </c>
      <c r="H22" s="58">
        <f>620000+183600</f>
        <v>803600</v>
      </c>
      <c r="I22" s="134"/>
      <c r="J22" s="131"/>
      <c r="K22" s="131"/>
      <c r="L22" s="131"/>
      <c r="M22" s="131"/>
    </row>
    <row r="23" spans="1:13" s="6" customFormat="1" ht="15" customHeight="1" outlineLevel="1" x14ac:dyDescent="0.2">
      <c r="A23" s="117" t="s">
        <v>50</v>
      </c>
      <c r="B23" s="166" t="s">
        <v>17</v>
      </c>
      <c r="C23" s="146"/>
      <c r="D23" s="3" t="s">
        <v>6</v>
      </c>
      <c r="E23" s="7">
        <f>SUM(F23:H23)</f>
        <v>4491092</v>
      </c>
      <c r="F23" s="7">
        <f>SUM(F24:F25)</f>
        <v>3495102</v>
      </c>
      <c r="G23" s="7">
        <f>SUM(G24:G25)</f>
        <v>195000</v>
      </c>
      <c r="H23" s="7">
        <f>SUM(H24:H25)</f>
        <v>800990</v>
      </c>
      <c r="I23" s="132" t="s">
        <v>100</v>
      </c>
      <c r="J23" s="129" t="s">
        <v>9</v>
      </c>
      <c r="K23" s="129" t="s">
        <v>101</v>
      </c>
      <c r="L23" s="129" t="s">
        <v>102</v>
      </c>
      <c r="M23" s="129" t="s">
        <v>102</v>
      </c>
    </row>
    <row r="24" spans="1:13" s="6" customFormat="1" ht="15" customHeight="1" outlineLevel="1" x14ac:dyDescent="0.2">
      <c r="A24" s="140"/>
      <c r="B24" s="166"/>
      <c r="C24" s="146"/>
      <c r="D24" s="3" t="s">
        <v>10</v>
      </c>
      <c r="E24" s="7">
        <f t="shared" si="0"/>
        <v>625000</v>
      </c>
      <c r="F24" s="7">
        <f t="shared" ref="F24:H25" si="3">F27+F30+F33+F36</f>
        <v>625000</v>
      </c>
      <c r="G24" s="7">
        <f t="shared" si="3"/>
        <v>0</v>
      </c>
      <c r="H24" s="7">
        <f t="shared" si="3"/>
        <v>0</v>
      </c>
      <c r="I24" s="133"/>
      <c r="J24" s="130"/>
      <c r="K24" s="130"/>
      <c r="L24" s="130"/>
      <c r="M24" s="130"/>
    </row>
    <row r="25" spans="1:13" s="6" customFormat="1" ht="15" customHeight="1" outlineLevel="1" collapsed="1" x14ac:dyDescent="0.2">
      <c r="A25" s="141"/>
      <c r="B25" s="166"/>
      <c r="C25" s="146"/>
      <c r="D25" s="3" t="s">
        <v>11</v>
      </c>
      <c r="E25" s="7">
        <f t="shared" si="0"/>
        <v>3866092</v>
      </c>
      <c r="F25" s="7">
        <f t="shared" si="3"/>
        <v>2870102</v>
      </c>
      <c r="G25" s="7">
        <f t="shared" si="3"/>
        <v>195000</v>
      </c>
      <c r="H25" s="7">
        <f t="shared" si="3"/>
        <v>800990</v>
      </c>
      <c r="I25" s="134"/>
      <c r="J25" s="131"/>
      <c r="K25" s="131"/>
      <c r="L25" s="131"/>
      <c r="M25" s="131"/>
    </row>
    <row r="26" spans="1:13" ht="14.25" hidden="1" customHeight="1" outlineLevel="2" x14ac:dyDescent="0.25">
      <c r="A26" s="135" t="s">
        <v>52</v>
      </c>
      <c r="B26" s="163" t="s">
        <v>19</v>
      </c>
      <c r="C26" s="145" t="s">
        <v>15</v>
      </c>
      <c r="D26" s="3" t="s">
        <v>6</v>
      </c>
      <c r="E26" s="7">
        <f>SUM(F26:H26)</f>
        <v>212600</v>
      </c>
      <c r="F26" s="7">
        <f>SUM(F27:F28)</f>
        <v>212600</v>
      </c>
      <c r="G26" s="7">
        <f>SUM(G27:G28)</f>
        <v>0</v>
      </c>
      <c r="H26" s="7">
        <f>SUM(H27:H28)</f>
        <v>0</v>
      </c>
      <c r="I26" s="132" t="s">
        <v>20</v>
      </c>
      <c r="J26" s="129" t="s">
        <v>9</v>
      </c>
      <c r="K26" s="129">
        <v>100</v>
      </c>
      <c r="L26" s="129">
        <v>100</v>
      </c>
      <c r="M26" s="129">
        <v>100</v>
      </c>
    </row>
    <row r="27" spans="1:13" ht="14.25" hidden="1" customHeight="1" outlineLevel="2" x14ac:dyDescent="0.25">
      <c r="A27" s="136"/>
      <c r="B27" s="163"/>
      <c r="C27" s="145"/>
      <c r="D27" s="4" t="s">
        <v>10</v>
      </c>
      <c r="E27" s="5">
        <f t="shared" si="0"/>
        <v>0</v>
      </c>
      <c r="F27" s="5">
        <v>0</v>
      </c>
      <c r="G27" s="5">
        <v>0</v>
      </c>
      <c r="H27" s="5">
        <v>0</v>
      </c>
      <c r="I27" s="133"/>
      <c r="J27" s="130"/>
      <c r="K27" s="130"/>
      <c r="L27" s="130"/>
      <c r="M27" s="130"/>
    </row>
    <row r="28" spans="1:13" ht="14.25" hidden="1" customHeight="1" outlineLevel="2" x14ac:dyDescent="0.25">
      <c r="A28" s="137"/>
      <c r="B28" s="163"/>
      <c r="C28" s="145"/>
      <c r="D28" s="4" t="s">
        <v>11</v>
      </c>
      <c r="E28" s="5">
        <f t="shared" si="0"/>
        <v>212600</v>
      </c>
      <c r="F28" s="5">
        <v>212600</v>
      </c>
      <c r="G28" s="5">
        <v>0</v>
      </c>
      <c r="H28" s="5">
        <v>0</v>
      </c>
      <c r="I28" s="134"/>
      <c r="J28" s="131"/>
      <c r="K28" s="131"/>
      <c r="L28" s="131"/>
      <c r="M28" s="131"/>
    </row>
    <row r="29" spans="1:13" ht="18" hidden="1" customHeight="1" outlineLevel="2" x14ac:dyDescent="0.25">
      <c r="A29" s="135" t="s">
        <v>53</v>
      </c>
      <c r="B29" s="165" t="s">
        <v>51</v>
      </c>
      <c r="C29" s="145" t="s">
        <v>76</v>
      </c>
      <c r="D29" s="3" t="s">
        <v>6</v>
      </c>
      <c r="E29" s="7">
        <f>SUM(F29:H29)</f>
        <v>575000</v>
      </c>
      <c r="F29" s="7">
        <f>SUM(F30:F31)</f>
        <v>180000</v>
      </c>
      <c r="G29" s="7">
        <f>SUM(G30:G31)</f>
        <v>195000</v>
      </c>
      <c r="H29" s="7">
        <v>200000</v>
      </c>
      <c r="I29" s="132" t="s">
        <v>18</v>
      </c>
      <c r="J29" s="129" t="s">
        <v>9</v>
      </c>
      <c r="K29" s="129">
        <v>100</v>
      </c>
      <c r="L29" s="129">
        <v>100</v>
      </c>
      <c r="M29" s="129">
        <v>100</v>
      </c>
    </row>
    <row r="30" spans="1:13" ht="18" hidden="1" customHeight="1" outlineLevel="2" x14ac:dyDescent="0.25">
      <c r="A30" s="136"/>
      <c r="B30" s="165"/>
      <c r="C30" s="145"/>
      <c r="D30" s="4" t="s">
        <v>10</v>
      </c>
      <c r="E30" s="5">
        <f t="shared" si="0"/>
        <v>0</v>
      </c>
      <c r="F30" s="5">
        <v>0</v>
      </c>
      <c r="G30" s="5">
        <v>0</v>
      </c>
      <c r="H30" s="5">
        <v>0</v>
      </c>
      <c r="I30" s="133"/>
      <c r="J30" s="130"/>
      <c r="K30" s="130"/>
      <c r="L30" s="130"/>
      <c r="M30" s="130"/>
    </row>
    <row r="31" spans="1:13" ht="18" hidden="1" customHeight="1" outlineLevel="2" x14ac:dyDescent="0.25">
      <c r="A31" s="137"/>
      <c r="B31" s="165"/>
      <c r="C31" s="145"/>
      <c r="D31" s="4" t="s">
        <v>11</v>
      </c>
      <c r="E31" s="5">
        <f t="shared" si="0"/>
        <v>575000</v>
      </c>
      <c r="F31" s="5">
        <v>180000</v>
      </c>
      <c r="G31" s="5">
        <v>195000</v>
      </c>
      <c r="H31" s="5">
        <v>200000</v>
      </c>
      <c r="I31" s="134"/>
      <c r="J31" s="131"/>
      <c r="K31" s="131"/>
      <c r="L31" s="131"/>
      <c r="M31" s="131"/>
    </row>
    <row r="32" spans="1:13" ht="21" hidden="1" customHeight="1" outlineLevel="2" x14ac:dyDescent="0.25">
      <c r="A32" s="135" t="s">
        <v>54</v>
      </c>
      <c r="B32" s="163" t="s">
        <v>62</v>
      </c>
      <c r="C32" s="145" t="s">
        <v>103</v>
      </c>
      <c r="D32" s="3" t="s">
        <v>6</v>
      </c>
      <c r="E32" s="7">
        <f>SUM(F32:H32)</f>
        <v>2968492</v>
      </c>
      <c r="F32" s="7">
        <f>SUM(F33:F34)</f>
        <v>2652502</v>
      </c>
      <c r="G32" s="7">
        <f>SUM(G33:G34)</f>
        <v>0</v>
      </c>
      <c r="H32" s="7">
        <v>315990</v>
      </c>
      <c r="I32" s="132" t="s">
        <v>95</v>
      </c>
      <c r="J32" s="129" t="s">
        <v>9</v>
      </c>
      <c r="K32" s="129">
        <v>100</v>
      </c>
      <c r="L32" s="129">
        <v>100</v>
      </c>
      <c r="M32" s="129">
        <v>100</v>
      </c>
    </row>
    <row r="33" spans="1:13" ht="21" hidden="1" customHeight="1" outlineLevel="2" x14ac:dyDescent="0.25">
      <c r="A33" s="136"/>
      <c r="B33" s="163"/>
      <c r="C33" s="145"/>
      <c r="D33" s="4" t="s">
        <v>10</v>
      </c>
      <c r="E33" s="5">
        <f t="shared" si="0"/>
        <v>625000</v>
      </c>
      <c r="F33" s="5">
        <f>625000</f>
        <v>625000</v>
      </c>
      <c r="G33" s="5">
        <v>0</v>
      </c>
      <c r="H33" s="5">
        <v>0</v>
      </c>
      <c r="I33" s="133"/>
      <c r="J33" s="130"/>
      <c r="K33" s="130"/>
      <c r="L33" s="130"/>
      <c r="M33" s="130"/>
    </row>
    <row r="34" spans="1:13" ht="21" hidden="1" customHeight="1" outlineLevel="2" x14ac:dyDescent="0.25">
      <c r="A34" s="137"/>
      <c r="B34" s="163"/>
      <c r="C34" s="145"/>
      <c r="D34" s="4" t="s">
        <v>11</v>
      </c>
      <c r="E34" s="5">
        <f t="shared" si="0"/>
        <v>2343492</v>
      </c>
      <c r="F34" s="5">
        <v>2027502</v>
      </c>
      <c r="G34" s="5">
        <v>0</v>
      </c>
      <c r="H34" s="5">
        <v>315990</v>
      </c>
      <c r="I34" s="134"/>
      <c r="J34" s="131"/>
      <c r="K34" s="131"/>
      <c r="L34" s="131"/>
      <c r="M34" s="131"/>
    </row>
    <row r="35" spans="1:13" ht="21" hidden="1" customHeight="1" outlineLevel="2" x14ac:dyDescent="0.25">
      <c r="A35" s="135" t="s">
        <v>55</v>
      </c>
      <c r="B35" s="163" t="s">
        <v>63</v>
      </c>
      <c r="C35" s="145" t="s">
        <v>75</v>
      </c>
      <c r="D35" s="3" t="s">
        <v>6</v>
      </c>
      <c r="E35" s="7">
        <f>SUM(F35:H35)</f>
        <v>735000</v>
      </c>
      <c r="F35" s="7">
        <f>SUM(F36:F37)</f>
        <v>450000</v>
      </c>
      <c r="G35" s="7">
        <f>SUM(G36:G37)</f>
        <v>0</v>
      </c>
      <c r="H35" s="7">
        <v>285000</v>
      </c>
      <c r="I35" s="132" t="s">
        <v>95</v>
      </c>
      <c r="J35" s="129" t="s">
        <v>9</v>
      </c>
      <c r="K35" s="129">
        <v>100</v>
      </c>
      <c r="L35" s="129">
        <v>100</v>
      </c>
      <c r="M35" s="129">
        <v>100</v>
      </c>
    </row>
    <row r="36" spans="1:13" ht="21" hidden="1" customHeight="1" outlineLevel="2" x14ac:dyDescent="0.25">
      <c r="A36" s="136"/>
      <c r="B36" s="163"/>
      <c r="C36" s="145"/>
      <c r="D36" s="4" t="s">
        <v>10</v>
      </c>
      <c r="E36" s="5">
        <f t="shared" si="0"/>
        <v>0</v>
      </c>
      <c r="F36" s="5">
        <v>0</v>
      </c>
      <c r="G36" s="5">
        <v>0</v>
      </c>
      <c r="H36" s="5">
        <v>0</v>
      </c>
      <c r="I36" s="133"/>
      <c r="J36" s="130"/>
      <c r="K36" s="130"/>
      <c r="L36" s="130"/>
      <c r="M36" s="130"/>
    </row>
    <row r="37" spans="1:13" ht="21" hidden="1" customHeight="1" outlineLevel="2" x14ac:dyDescent="0.25">
      <c r="A37" s="137"/>
      <c r="B37" s="163"/>
      <c r="C37" s="145"/>
      <c r="D37" s="4" t="s">
        <v>11</v>
      </c>
      <c r="E37" s="5">
        <f t="shared" si="0"/>
        <v>735000</v>
      </c>
      <c r="F37" s="5">
        <v>450000</v>
      </c>
      <c r="G37" s="5">
        <v>0</v>
      </c>
      <c r="H37" s="5">
        <v>285000</v>
      </c>
      <c r="I37" s="134"/>
      <c r="J37" s="131"/>
      <c r="K37" s="131"/>
      <c r="L37" s="131"/>
      <c r="M37" s="131"/>
    </row>
    <row r="38" spans="1:13" s="6" customFormat="1" ht="13.5" customHeight="1" outlineLevel="1" x14ac:dyDescent="0.2">
      <c r="A38" s="117" t="s">
        <v>56</v>
      </c>
      <c r="B38" s="166" t="s">
        <v>21</v>
      </c>
      <c r="C38" s="146"/>
      <c r="D38" s="3" t="s">
        <v>6</v>
      </c>
      <c r="E38" s="7">
        <f>SUM(F38:H38)</f>
        <v>2480000</v>
      </c>
      <c r="F38" s="7">
        <f>SUM(F39:F40)</f>
        <v>520000</v>
      </c>
      <c r="G38" s="7">
        <f>SUM(G39:G40)</f>
        <v>1600000</v>
      </c>
      <c r="H38" s="7">
        <f>SUM(H39:H40)</f>
        <v>360000</v>
      </c>
      <c r="I38" s="132" t="s">
        <v>100</v>
      </c>
      <c r="J38" s="129" t="s">
        <v>9</v>
      </c>
      <c r="K38" s="129" t="s">
        <v>101</v>
      </c>
      <c r="L38" s="129" t="s">
        <v>102</v>
      </c>
      <c r="M38" s="129" t="s">
        <v>102</v>
      </c>
    </row>
    <row r="39" spans="1:13" s="6" customFormat="1" ht="13.5" customHeight="1" outlineLevel="1" x14ac:dyDescent="0.2">
      <c r="A39" s="140"/>
      <c r="B39" s="166"/>
      <c r="C39" s="146"/>
      <c r="D39" s="3" t="s">
        <v>10</v>
      </c>
      <c r="E39" s="5">
        <f t="shared" si="0"/>
        <v>0</v>
      </c>
      <c r="F39" s="5">
        <f t="shared" ref="F39:H40" si="4">F42</f>
        <v>0</v>
      </c>
      <c r="G39" s="5">
        <f t="shared" si="4"/>
        <v>0</v>
      </c>
      <c r="H39" s="5">
        <f t="shared" si="4"/>
        <v>0</v>
      </c>
      <c r="I39" s="133"/>
      <c r="J39" s="130"/>
      <c r="K39" s="130"/>
      <c r="L39" s="130"/>
      <c r="M39" s="130"/>
    </row>
    <row r="40" spans="1:13" s="6" customFormat="1" ht="13.5" customHeight="1" outlineLevel="1" collapsed="1" x14ac:dyDescent="0.2">
      <c r="A40" s="141"/>
      <c r="B40" s="166"/>
      <c r="C40" s="146"/>
      <c r="D40" s="3" t="s">
        <v>11</v>
      </c>
      <c r="E40" s="5">
        <f t="shared" si="0"/>
        <v>2480000</v>
      </c>
      <c r="F40" s="5">
        <f t="shared" si="4"/>
        <v>520000</v>
      </c>
      <c r="G40" s="5">
        <f t="shared" si="4"/>
        <v>1600000</v>
      </c>
      <c r="H40" s="5">
        <f t="shared" si="4"/>
        <v>360000</v>
      </c>
      <c r="I40" s="134"/>
      <c r="J40" s="131"/>
      <c r="K40" s="131"/>
      <c r="L40" s="131"/>
      <c r="M40" s="131"/>
    </row>
    <row r="41" spans="1:13" ht="21" hidden="1" customHeight="1" outlineLevel="2" x14ac:dyDescent="0.25">
      <c r="A41" s="135" t="s">
        <v>57</v>
      </c>
      <c r="B41" s="165" t="s">
        <v>21</v>
      </c>
      <c r="C41" s="145" t="s">
        <v>75</v>
      </c>
      <c r="D41" s="3" t="s">
        <v>6</v>
      </c>
      <c r="E41" s="7">
        <f>SUM(F41:H41)</f>
        <v>2480000</v>
      </c>
      <c r="F41" s="7">
        <f>SUM(F42:F43)</f>
        <v>520000</v>
      </c>
      <c r="G41" s="7">
        <f>SUM(G42:G43)</f>
        <v>1600000</v>
      </c>
      <c r="H41" s="7">
        <f>SUM(H42:H43)</f>
        <v>360000</v>
      </c>
      <c r="I41" s="132" t="s">
        <v>95</v>
      </c>
      <c r="J41" s="129" t="s">
        <v>9</v>
      </c>
      <c r="K41" s="129">
        <v>100</v>
      </c>
      <c r="L41" s="129">
        <v>100</v>
      </c>
      <c r="M41" s="129">
        <v>100</v>
      </c>
    </row>
    <row r="42" spans="1:13" ht="21" hidden="1" customHeight="1" outlineLevel="2" x14ac:dyDescent="0.25">
      <c r="A42" s="136"/>
      <c r="B42" s="165"/>
      <c r="C42" s="145"/>
      <c r="D42" s="4" t="s">
        <v>10</v>
      </c>
      <c r="E42" s="5">
        <f t="shared" si="0"/>
        <v>0</v>
      </c>
      <c r="F42" s="5">
        <v>0</v>
      </c>
      <c r="G42" s="5">
        <v>0</v>
      </c>
      <c r="H42" s="5">
        <v>0</v>
      </c>
      <c r="I42" s="133"/>
      <c r="J42" s="130"/>
      <c r="K42" s="130"/>
      <c r="L42" s="130"/>
      <c r="M42" s="130"/>
    </row>
    <row r="43" spans="1:13" ht="21" hidden="1" customHeight="1" outlineLevel="2" x14ac:dyDescent="0.25">
      <c r="A43" s="137"/>
      <c r="B43" s="165"/>
      <c r="C43" s="145"/>
      <c r="D43" s="4" t="s">
        <v>11</v>
      </c>
      <c r="E43" s="5">
        <f t="shared" si="0"/>
        <v>2480000</v>
      </c>
      <c r="F43" s="5">
        <v>520000</v>
      </c>
      <c r="G43" s="5">
        <v>1600000</v>
      </c>
      <c r="H43" s="58">
        <f>300000+60000</f>
        <v>360000</v>
      </c>
      <c r="I43" s="134"/>
      <c r="J43" s="131"/>
      <c r="K43" s="131"/>
      <c r="L43" s="131"/>
      <c r="M43" s="131"/>
    </row>
    <row r="44" spans="1:13" s="6" customFormat="1" ht="29.25" customHeight="1" outlineLevel="1" x14ac:dyDescent="0.2">
      <c r="A44" s="117" t="s">
        <v>58</v>
      </c>
      <c r="B44" s="164" t="s">
        <v>22</v>
      </c>
      <c r="C44" s="146"/>
      <c r="D44" s="3" t="s">
        <v>6</v>
      </c>
      <c r="E44" s="7">
        <f>SUM(F44:H44)</f>
        <v>835100</v>
      </c>
      <c r="F44" s="7">
        <f>SUM(F45:F46)</f>
        <v>0</v>
      </c>
      <c r="G44" s="7">
        <f>SUM(G45:G46)</f>
        <v>835100</v>
      </c>
      <c r="H44" s="7">
        <f>SUM(H45:H46)</f>
        <v>0</v>
      </c>
      <c r="I44" s="132" t="s">
        <v>100</v>
      </c>
      <c r="J44" s="129" t="s">
        <v>9</v>
      </c>
      <c r="K44" s="129" t="s">
        <v>101</v>
      </c>
      <c r="L44" s="129" t="s">
        <v>102</v>
      </c>
      <c r="M44" s="129" t="s">
        <v>102</v>
      </c>
    </row>
    <row r="45" spans="1:13" s="6" customFormat="1" ht="29.25" customHeight="1" outlineLevel="1" x14ac:dyDescent="0.2">
      <c r="A45" s="140"/>
      <c r="B45" s="164"/>
      <c r="C45" s="146"/>
      <c r="D45" s="3" t="s">
        <v>10</v>
      </c>
      <c r="E45" s="5">
        <f t="shared" si="0"/>
        <v>535100</v>
      </c>
      <c r="F45" s="5">
        <f t="shared" ref="F45:H46" si="5">F48</f>
        <v>0</v>
      </c>
      <c r="G45" s="5">
        <f t="shared" si="5"/>
        <v>535100</v>
      </c>
      <c r="H45" s="5">
        <f t="shared" si="5"/>
        <v>0</v>
      </c>
      <c r="I45" s="133"/>
      <c r="J45" s="130"/>
      <c r="K45" s="130"/>
      <c r="L45" s="130"/>
      <c r="M45" s="130"/>
    </row>
    <row r="46" spans="1:13" s="6" customFormat="1" ht="24.75" customHeight="1" outlineLevel="1" x14ac:dyDescent="0.2">
      <c r="A46" s="141"/>
      <c r="B46" s="164"/>
      <c r="C46" s="146"/>
      <c r="D46" s="3" t="s">
        <v>11</v>
      </c>
      <c r="E46" s="5">
        <f t="shared" si="0"/>
        <v>300000</v>
      </c>
      <c r="F46" s="5">
        <f t="shared" si="5"/>
        <v>0</v>
      </c>
      <c r="G46" s="5">
        <f t="shared" si="5"/>
        <v>300000</v>
      </c>
      <c r="H46" s="5">
        <f t="shared" si="5"/>
        <v>0</v>
      </c>
      <c r="I46" s="134"/>
      <c r="J46" s="131"/>
      <c r="K46" s="131"/>
      <c r="L46" s="131"/>
      <c r="M46" s="131"/>
    </row>
    <row r="47" spans="1:13" ht="21.75" customHeight="1" outlineLevel="2" x14ac:dyDescent="0.25">
      <c r="A47" s="135" t="s">
        <v>59</v>
      </c>
      <c r="B47" s="163" t="s">
        <v>22</v>
      </c>
      <c r="C47" s="145" t="s">
        <v>75</v>
      </c>
      <c r="D47" s="3" t="s">
        <v>6</v>
      </c>
      <c r="E47" s="7">
        <f>SUM(F47:H47)</f>
        <v>835100</v>
      </c>
      <c r="F47" s="7">
        <f>SUM(F48:F49)</f>
        <v>0</v>
      </c>
      <c r="G47" s="7">
        <f>SUM(G48:G49)</f>
        <v>835100</v>
      </c>
      <c r="H47" s="7">
        <f>SUM(H48:H49)</f>
        <v>0</v>
      </c>
      <c r="I47" s="132" t="s">
        <v>96</v>
      </c>
      <c r="J47" s="129" t="s">
        <v>9</v>
      </c>
      <c r="K47" s="129">
        <v>0</v>
      </c>
      <c r="L47" s="129">
        <v>50</v>
      </c>
      <c r="M47" s="129">
        <v>50</v>
      </c>
    </row>
    <row r="48" spans="1:13" ht="21.75" customHeight="1" outlineLevel="2" x14ac:dyDescent="0.25">
      <c r="A48" s="136"/>
      <c r="B48" s="163"/>
      <c r="C48" s="145"/>
      <c r="D48" s="4" t="s">
        <v>10</v>
      </c>
      <c r="E48" s="5">
        <f t="shared" si="0"/>
        <v>535100</v>
      </c>
      <c r="F48" s="5">
        <v>0</v>
      </c>
      <c r="G48" s="5">
        <v>535100</v>
      </c>
      <c r="H48" s="5">
        <v>0</v>
      </c>
      <c r="I48" s="133"/>
      <c r="J48" s="130"/>
      <c r="K48" s="130"/>
      <c r="L48" s="130"/>
      <c r="M48" s="130"/>
    </row>
    <row r="49" spans="1:13" ht="21.75" customHeight="1" outlineLevel="2" x14ac:dyDescent="0.25">
      <c r="A49" s="137"/>
      <c r="B49" s="163"/>
      <c r="C49" s="145"/>
      <c r="D49" s="4" t="s">
        <v>11</v>
      </c>
      <c r="E49" s="5">
        <f t="shared" si="0"/>
        <v>300000</v>
      </c>
      <c r="F49" s="5">
        <v>0</v>
      </c>
      <c r="G49" s="5">
        <v>300000</v>
      </c>
      <c r="H49" s="5">
        <v>0</v>
      </c>
      <c r="I49" s="134"/>
      <c r="J49" s="131"/>
      <c r="K49" s="131"/>
      <c r="L49" s="131"/>
      <c r="M49" s="131"/>
    </row>
    <row r="50" spans="1:13" s="6" customFormat="1" ht="13.5" customHeight="1" x14ac:dyDescent="0.2">
      <c r="A50" s="147" t="s">
        <v>60</v>
      </c>
      <c r="B50" s="147"/>
      <c r="C50" s="147"/>
      <c r="D50" s="11" t="s">
        <v>6</v>
      </c>
      <c r="E50" s="7">
        <f>SUM(F50:H50)</f>
        <v>10831717</v>
      </c>
      <c r="F50" s="7">
        <f>SUM(F51:F52)</f>
        <v>5271197</v>
      </c>
      <c r="G50" s="7">
        <f>SUM(G51:G52)</f>
        <v>3415930</v>
      </c>
      <c r="H50" s="7">
        <f>SUM(H51:H52)</f>
        <v>2144590</v>
      </c>
      <c r="I50" s="132"/>
      <c r="J50" s="129"/>
      <c r="K50" s="129"/>
      <c r="L50" s="129"/>
      <c r="M50" s="129"/>
    </row>
    <row r="51" spans="1:13" s="6" customFormat="1" ht="13.5" customHeight="1" x14ac:dyDescent="0.2">
      <c r="A51" s="147"/>
      <c r="B51" s="147"/>
      <c r="C51" s="147"/>
      <c r="D51" s="11" t="s">
        <v>10</v>
      </c>
      <c r="E51" s="7">
        <f>SUM(F51:H51)</f>
        <v>1160100</v>
      </c>
      <c r="F51" s="7">
        <f t="shared" ref="F51:H52" si="6">F12</f>
        <v>625000</v>
      </c>
      <c r="G51" s="7">
        <f t="shared" si="6"/>
        <v>535100</v>
      </c>
      <c r="H51" s="7">
        <f t="shared" si="6"/>
        <v>0</v>
      </c>
      <c r="I51" s="133"/>
      <c r="J51" s="130"/>
      <c r="K51" s="130"/>
      <c r="L51" s="130"/>
      <c r="M51" s="130"/>
    </row>
    <row r="52" spans="1:13" s="6" customFormat="1" ht="13.5" customHeight="1" x14ac:dyDescent="0.2">
      <c r="A52" s="147"/>
      <c r="B52" s="147"/>
      <c r="C52" s="147"/>
      <c r="D52" s="11" t="s">
        <v>11</v>
      </c>
      <c r="E52" s="7">
        <f>SUM(F52:H52)</f>
        <v>9671617</v>
      </c>
      <c r="F52" s="7">
        <f t="shared" si="6"/>
        <v>4646197</v>
      </c>
      <c r="G52" s="7">
        <f t="shared" si="6"/>
        <v>2880830</v>
      </c>
      <c r="H52" s="7">
        <f t="shared" si="6"/>
        <v>2144590</v>
      </c>
      <c r="I52" s="134"/>
      <c r="J52" s="131"/>
      <c r="K52" s="131"/>
      <c r="L52" s="131"/>
      <c r="M52" s="131"/>
    </row>
    <row r="53" spans="1:13" ht="15" customHeight="1" x14ac:dyDescent="0.25">
      <c r="A53" s="123" t="s">
        <v>64</v>
      </c>
      <c r="B53" s="123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0"/>
    </row>
    <row r="54" spans="1:13" s="6" customFormat="1" ht="18.75" customHeight="1" x14ac:dyDescent="0.2">
      <c r="A54" s="117" t="s">
        <v>105</v>
      </c>
      <c r="B54" s="120" t="s">
        <v>23</v>
      </c>
      <c r="C54" s="142"/>
      <c r="D54" s="3" t="s">
        <v>6</v>
      </c>
      <c r="E54" s="7">
        <f t="shared" ref="E54:E77" si="7">SUM(F54:H54)</f>
        <v>6117625</v>
      </c>
      <c r="F54" s="7">
        <f>SUM(F55:F56)</f>
        <v>806415</v>
      </c>
      <c r="G54" s="7">
        <f>SUM(G55:G56)</f>
        <v>3249400</v>
      </c>
      <c r="H54" s="7">
        <f>SUM(H55:H56)</f>
        <v>2061810</v>
      </c>
      <c r="I54" s="132" t="s">
        <v>100</v>
      </c>
      <c r="J54" s="129" t="s">
        <v>9</v>
      </c>
      <c r="K54" s="129" t="s">
        <v>101</v>
      </c>
      <c r="L54" s="129" t="s">
        <v>102</v>
      </c>
      <c r="M54" s="129" t="s">
        <v>102</v>
      </c>
    </row>
    <row r="55" spans="1:13" s="6" customFormat="1" ht="18.75" customHeight="1" x14ac:dyDescent="0.2">
      <c r="A55" s="140"/>
      <c r="B55" s="138"/>
      <c r="C55" s="143"/>
      <c r="D55" s="3" t="s">
        <v>10</v>
      </c>
      <c r="E55" s="7">
        <f t="shared" si="7"/>
        <v>1118500</v>
      </c>
      <c r="F55" s="9">
        <f t="shared" ref="F55:H56" si="8">F58+F70</f>
        <v>0</v>
      </c>
      <c r="G55" s="9">
        <f t="shared" si="8"/>
        <v>1118500</v>
      </c>
      <c r="H55" s="9">
        <f t="shared" si="8"/>
        <v>0</v>
      </c>
      <c r="I55" s="133"/>
      <c r="J55" s="130"/>
      <c r="K55" s="130"/>
      <c r="L55" s="130"/>
      <c r="M55" s="130"/>
    </row>
    <row r="56" spans="1:13" s="6" customFormat="1" ht="18.75" customHeight="1" x14ac:dyDescent="0.2">
      <c r="A56" s="141"/>
      <c r="B56" s="139"/>
      <c r="C56" s="144"/>
      <c r="D56" s="3" t="s">
        <v>11</v>
      </c>
      <c r="E56" s="7">
        <f t="shared" si="7"/>
        <v>4999125</v>
      </c>
      <c r="F56" s="9">
        <f t="shared" si="8"/>
        <v>806415</v>
      </c>
      <c r="G56" s="9">
        <f t="shared" si="8"/>
        <v>2130900</v>
      </c>
      <c r="H56" s="9">
        <f t="shared" si="8"/>
        <v>2061810</v>
      </c>
      <c r="I56" s="134"/>
      <c r="J56" s="131"/>
      <c r="K56" s="131"/>
      <c r="L56" s="131"/>
      <c r="M56" s="131"/>
    </row>
    <row r="57" spans="1:13" ht="21" customHeight="1" outlineLevel="1" x14ac:dyDescent="0.25">
      <c r="A57" s="135" t="s">
        <v>106</v>
      </c>
      <c r="B57" s="132" t="s">
        <v>25</v>
      </c>
      <c r="C57" s="145" t="s">
        <v>75</v>
      </c>
      <c r="D57" s="3" t="s">
        <v>6</v>
      </c>
      <c r="E57" s="7">
        <f t="shared" si="7"/>
        <v>5537688</v>
      </c>
      <c r="F57" s="7">
        <f>SUM(F58:F59)</f>
        <v>534478</v>
      </c>
      <c r="G57" s="7">
        <f>SUM(G58:G59)</f>
        <v>3249400</v>
      </c>
      <c r="H57" s="7">
        <f>SUM(H58:H59)</f>
        <v>1753810</v>
      </c>
      <c r="I57" s="132" t="s">
        <v>24</v>
      </c>
      <c r="J57" s="129" t="s">
        <v>78</v>
      </c>
      <c r="K57" s="129">
        <v>2</v>
      </c>
      <c r="L57" s="129">
        <v>3</v>
      </c>
      <c r="M57" s="129">
        <v>4</v>
      </c>
    </row>
    <row r="58" spans="1:13" ht="21" customHeight="1" outlineLevel="1" x14ac:dyDescent="0.25">
      <c r="A58" s="136"/>
      <c r="B58" s="133"/>
      <c r="C58" s="145"/>
      <c r="D58" s="4" t="s">
        <v>10</v>
      </c>
      <c r="E58" s="5">
        <f t="shared" si="7"/>
        <v>1118500</v>
      </c>
      <c r="F58" s="8">
        <f>F61+F64+F67</f>
        <v>0</v>
      </c>
      <c r="G58" s="8">
        <f>G61+G64+G67</f>
        <v>1118500</v>
      </c>
      <c r="H58" s="8">
        <f>H61+H64+H67</f>
        <v>0</v>
      </c>
      <c r="I58" s="133"/>
      <c r="J58" s="130"/>
      <c r="K58" s="130"/>
      <c r="L58" s="130"/>
      <c r="M58" s="130"/>
    </row>
    <row r="59" spans="1:13" ht="21" customHeight="1" outlineLevel="1" x14ac:dyDescent="0.25">
      <c r="A59" s="137"/>
      <c r="B59" s="134"/>
      <c r="C59" s="145"/>
      <c r="D59" s="4" t="s">
        <v>11</v>
      </c>
      <c r="E59" s="5">
        <f t="shared" si="7"/>
        <v>4419188</v>
      </c>
      <c r="F59" s="8">
        <v>534478</v>
      </c>
      <c r="G59" s="8">
        <f>G62+G65+G68</f>
        <v>2130900</v>
      </c>
      <c r="H59" s="8">
        <v>1753810</v>
      </c>
      <c r="I59" s="133"/>
      <c r="J59" s="130"/>
      <c r="K59" s="130"/>
      <c r="L59" s="130"/>
      <c r="M59" s="130"/>
    </row>
    <row r="60" spans="1:13" ht="21" customHeight="1" outlineLevel="1" x14ac:dyDescent="0.25">
      <c r="A60" s="135" t="s">
        <v>26</v>
      </c>
      <c r="B60" s="132" t="s">
        <v>27</v>
      </c>
      <c r="C60" s="145" t="s">
        <v>75</v>
      </c>
      <c r="D60" s="3" t="s">
        <v>6</v>
      </c>
      <c r="E60" s="7">
        <f t="shared" si="7"/>
        <v>4364950</v>
      </c>
      <c r="F60" s="7">
        <f>SUM(F61:F62)</f>
        <v>0</v>
      </c>
      <c r="G60" s="7">
        <f>SUM(G61:G62)</f>
        <v>2876500</v>
      </c>
      <c r="H60" s="7">
        <v>1488450</v>
      </c>
      <c r="I60" s="133"/>
      <c r="J60" s="130"/>
      <c r="K60" s="130"/>
      <c r="L60" s="130"/>
      <c r="M60" s="130"/>
    </row>
    <row r="61" spans="1:13" ht="21" customHeight="1" outlineLevel="1" x14ac:dyDescent="0.25">
      <c r="A61" s="136"/>
      <c r="B61" s="133"/>
      <c r="C61" s="145"/>
      <c r="D61" s="4" t="s">
        <v>10</v>
      </c>
      <c r="E61" s="5">
        <f t="shared" si="7"/>
        <v>905600</v>
      </c>
      <c r="F61" s="8">
        <v>0</v>
      </c>
      <c r="G61" s="8">
        <v>905600</v>
      </c>
      <c r="H61" s="8">
        <v>0</v>
      </c>
      <c r="I61" s="133"/>
      <c r="J61" s="130"/>
      <c r="K61" s="130"/>
      <c r="L61" s="130"/>
      <c r="M61" s="130"/>
    </row>
    <row r="62" spans="1:13" ht="21" customHeight="1" outlineLevel="1" x14ac:dyDescent="0.25">
      <c r="A62" s="137"/>
      <c r="B62" s="134"/>
      <c r="C62" s="145"/>
      <c r="D62" s="4" t="s">
        <v>11</v>
      </c>
      <c r="E62" s="5">
        <f t="shared" si="7"/>
        <v>3459350</v>
      </c>
      <c r="F62" s="8">
        <v>0</v>
      </c>
      <c r="G62" s="8">
        <v>1970900</v>
      </c>
      <c r="H62" s="8">
        <v>1488450</v>
      </c>
      <c r="I62" s="133"/>
      <c r="J62" s="130"/>
      <c r="K62" s="130"/>
      <c r="L62" s="130"/>
      <c r="M62" s="130"/>
    </row>
    <row r="63" spans="1:13" ht="21" customHeight="1" outlineLevel="1" x14ac:dyDescent="0.25">
      <c r="A63" s="135" t="s">
        <v>28</v>
      </c>
      <c r="B63" s="132" t="s">
        <v>29</v>
      </c>
      <c r="C63" s="145" t="s">
        <v>75</v>
      </c>
      <c r="D63" s="3" t="s">
        <v>6</v>
      </c>
      <c r="E63" s="7">
        <f t="shared" si="7"/>
        <v>312900</v>
      </c>
      <c r="F63" s="7">
        <f>SUM(F64:F65)</f>
        <v>0</v>
      </c>
      <c r="G63" s="7">
        <f>SUM(G64:G65)</f>
        <v>312900</v>
      </c>
      <c r="H63" s="7">
        <v>0</v>
      </c>
      <c r="I63" s="133"/>
      <c r="J63" s="130"/>
      <c r="K63" s="130"/>
      <c r="L63" s="130"/>
      <c r="M63" s="130"/>
    </row>
    <row r="64" spans="1:13" ht="21" customHeight="1" outlineLevel="1" x14ac:dyDescent="0.25">
      <c r="A64" s="136"/>
      <c r="B64" s="133"/>
      <c r="C64" s="145"/>
      <c r="D64" s="4" t="s">
        <v>10</v>
      </c>
      <c r="E64" s="5">
        <f t="shared" si="7"/>
        <v>212900</v>
      </c>
      <c r="F64" s="8">
        <v>0</v>
      </c>
      <c r="G64" s="8">
        <v>212900</v>
      </c>
      <c r="H64" s="8">
        <v>0</v>
      </c>
      <c r="I64" s="133"/>
      <c r="J64" s="130"/>
      <c r="K64" s="130"/>
      <c r="L64" s="130"/>
      <c r="M64" s="130"/>
    </row>
    <row r="65" spans="1:13" ht="21" customHeight="1" outlineLevel="1" x14ac:dyDescent="0.25">
      <c r="A65" s="137"/>
      <c r="B65" s="134"/>
      <c r="C65" s="145"/>
      <c r="D65" s="4" t="s">
        <v>11</v>
      </c>
      <c r="E65" s="5">
        <f t="shared" si="7"/>
        <v>100000</v>
      </c>
      <c r="F65" s="8">
        <v>0</v>
      </c>
      <c r="G65" s="8">
        <v>100000</v>
      </c>
      <c r="H65" s="20">
        <v>0</v>
      </c>
      <c r="I65" s="133"/>
      <c r="J65" s="130"/>
      <c r="K65" s="130"/>
      <c r="L65" s="130"/>
      <c r="M65" s="130"/>
    </row>
    <row r="66" spans="1:13" ht="21" customHeight="1" outlineLevel="1" x14ac:dyDescent="0.25">
      <c r="A66" s="135" t="s">
        <v>73</v>
      </c>
      <c r="B66" s="132" t="s">
        <v>65</v>
      </c>
      <c r="C66" s="145" t="s">
        <v>75</v>
      </c>
      <c r="D66" s="3" t="s">
        <v>6</v>
      </c>
      <c r="E66" s="7">
        <f t="shared" si="7"/>
        <v>325360</v>
      </c>
      <c r="F66" s="7">
        <f>SUM(F67:F68)</f>
        <v>0</v>
      </c>
      <c r="G66" s="7">
        <f>SUM(G67:G68)</f>
        <v>60000</v>
      </c>
      <c r="H66" s="7">
        <v>265360</v>
      </c>
      <c r="I66" s="133"/>
      <c r="J66" s="130"/>
      <c r="K66" s="130"/>
      <c r="L66" s="130"/>
      <c r="M66" s="130"/>
    </row>
    <row r="67" spans="1:13" ht="21" customHeight="1" outlineLevel="1" x14ac:dyDescent="0.25">
      <c r="A67" s="136"/>
      <c r="B67" s="133"/>
      <c r="C67" s="145"/>
      <c r="D67" s="4" t="s">
        <v>10</v>
      </c>
      <c r="E67" s="5">
        <f t="shared" si="7"/>
        <v>0</v>
      </c>
      <c r="F67" s="8">
        <v>0</v>
      </c>
      <c r="G67" s="8">
        <v>0</v>
      </c>
      <c r="H67" s="8">
        <v>0</v>
      </c>
      <c r="I67" s="133"/>
      <c r="J67" s="130"/>
      <c r="K67" s="130"/>
      <c r="L67" s="130"/>
      <c r="M67" s="130"/>
    </row>
    <row r="68" spans="1:13" ht="21" customHeight="1" outlineLevel="1" x14ac:dyDescent="0.25">
      <c r="A68" s="137"/>
      <c r="B68" s="134"/>
      <c r="C68" s="145"/>
      <c r="D68" s="4" t="s">
        <v>11</v>
      </c>
      <c r="E68" s="5">
        <f t="shared" si="7"/>
        <v>325360</v>
      </c>
      <c r="F68" s="8">
        <v>0</v>
      </c>
      <c r="G68" s="8">
        <v>60000</v>
      </c>
      <c r="H68" s="8">
        <v>265360</v>
      </c>
      <c r="I68" s="134"/>
      <c r="J68" s="131"/>
      <c r="K68" s="131"/>
      <c r="L68" s="131"/>
      <c r="M68" s="131"/>
    </row>
    <row r="69" spans="1:13" ht="21" customHeight="1" outlineLevel="1" x14ac:dyDescent="0.25">
      <c r="A69" s="135" t="s">
        <v>72</v>
      </c>
      <c r="B69" s="132" t="s">
        <v>30</v>
      </c>
      <c r="C69" s="129" t="s">
        <v>75</v>
      </c>
      <c r="D69" s="3" t="s">
        <v>6</v>
      </c>
      <c r="E69" s="7">
        <v>579937</v>
      </c>
      <c r="F69" s="9">
        <v>271937</v>
      </c>
      <c r="G69" s="9">
        <v>0</v>
      </c>
      <c r="H69" s="9">
        <v>308000</v>
      </c>
      <c r="I69" s="132" t="s">
        <v>31</v>
      </c>
      <c r="J69" s="129" t="s">
        <v>9</v>
      </c>
      <c r="K69" s="129">
        <v>8.3000000000000007</v>
      </c>
      <c r="L69" s="129">
        <v>12.5</v>
      </c>
      <c r="M69" s="129">
        <v>16.600000000000001</v>
      </c>
    </row>
    <row r="70" spans="1:13" ht="21" customHeight="1" outlineLevel="1" x14ac:dyDescent="0.25">
      <c r="A70" s="118"/>
      <c r="B70" s="121"/>
      <c r="C70" s="118"/>
      <c r="D70" s="4" t="s">
        <v>10</v>
      </c>
      <c r="E70" s="5">
        <v>0</v>
      </c>
      <c r="F70" s="8">
        <v>0</v>
      </c>
      <c r="G70" s="8">
        <v>0</v>
      </c>
      <c r="H70" s="8">
        <v>0</v>
      </c>
      <c r="I70" s="121"/>
      <c r="J70" s="118"/>
      <c r="K70" s="118"/>
      <c r="L70" s="118"/>
      <c r="M70" s="118"/>
    </row>
    <row r="71" spans="1:13" ht="21" customHeight="1" outlineLevel="1" x14ac:dyDescent="0.25">
      <c r="A71" s="119"/>
      <c r="B71" s="122"/>
      <c r="C71" s="119"/>
      <c r="D71" s="4" t="s">
        <v>11</v>
      </c>
      <c r="E71" s="5">
        <v>579937</v>
      </c>
      <c r="F71" s="8">
        <v>271937</v>
      </c>
      <c r="G71" s="8">
        <v>0</v>
      </c>
      <c r="H71" s="8">
        <v>308000</v>
      </c>
      <c r="I71" s="121"/>
      <c r="J71" s="118"/>
      <c r="K71" s="118"/>
      <c r="L71" s="118"/>
      <c r="M71" s="118"/>
    </row>
    <row r="72" spans="1:13" ht="21" customHeight="1" outlineLevel="1" x14ac:dyDescent="0.25">
      <c r="A72" s="135" t="s">
        <v>129</v>
      </c>
      <c r="B72" s="132" t="s">
        <v>27</v>
      </c>
      <c r="C72" s="145" t="s">
        <v>75</v>
      </c>
      <c r="D72" s="3" t="s">
        <v>6</v>
      </c>
      <c r="E72" s="7">
        <f t="shared" si="7"/>
        <v>579937</v>
      </c>
      <c r="F72" s="7">
        <f>SUM(F73:F74)</f>
        <v>271937</v>
      </c>
      <c r="G72" s="7">
        <f>SUM(G73:G74)</f>
        <v>0</v>
      </c>
      <c r="H72" s="7">
        <v>308000</v>
      </c>
      <c r="I72" s="121"/>
      <c r="J72" s="118"/>
      <c r="K72" s="118"/>
      <c r="L72" s="118"/>
      <c r="M72" s="118"/>
    </row>
    <row r="73" spans="1:13" ht="21" customHeight="1" outlineLevel="1" x14ac:dyDescent="0.25">
      <c r="A73" s="136"/>
      <c r="B73" s="133"/>
      <c r="C73" s="145"/>
      <c r="D73" s="4" t="s">
        <v>10</v>
      </c>
      <c r="E73" s="5">
        <f t="shared" si="7"/>
        <v>0</v>
      </c>
      <c r="F73" s="8">
        <v>0</v>
      </c>
      <c r="G73" s="8">
        <v>0</v>
      </c>
      <c r="H73" s="8">
        <v>0</v>
      </c>
      <c r="I73" s="121"/>
      <c r="J73" s="118"/>
      <c r="K73" s="118"/>
      <c r="L73" s="118"/>
      <c r="M73" s="118"/>
    </row>
    <row r="74" spans="1:13" ht="21" customHeight="1" outlineLevel="1" x14ac:dyDescent="0.25">
      <c r="A74" s="137"/>
      <c r="B74" s="134"/>
      <c r="C74" s="145"/>
      <c r="D74" s="4" t="s">
        <v>11</v>
      </c>
      <c r="E74" s="5">
        <f t="shared" si="7"/>
        <v>579937</v>
      </c>
      <c r="F74" s="8">
        <v>271937</v>
      </c>
      <c r="G74" s="8">
        <v>0</v>
      </c>
      <c r="H74" s="8">
        <v>308000</v>
      </c>
      <c r="I74" s="122"/>
      <c r="J74" s="119"/>
      <c r="K74" s="119"/>
      <c r="L74" s="119"/>
      <c r="M74" s="119"/>
    </row>
    <row r="75" spans="1:13" s="6" customFormat="1" ht="13.5" customHeight="1" x14ac:dyDescent="0.2">
      <c r="A75" s="147" t="s">
        <v>71</v>
      </c>
      <c r="B75" s="147"/>
      <c r="C75" s="147"/>
      <c r="D75" s="11" t="s">
        <v>6</v>
      </c>
      <c r="E75" s="7">
        <f t="shared" si="7"/>
        <v>6117625</v>
      </c>
      <c r="F75" s="7">
        <f>SUM(F76:F77)</f>
        <v>806415</v>
      </c>
      <c r="G75" s="7">
        <f>SUM(G76:G77)</f>
        <v>3249400</v>
      </c>
      <c r="H75" s="7">
        <f>SUM(H76:H77)</f>
        <v>2061810</v>
      </c>
      <c r="I75" s="132"/>
      <c r="J75" s="129"/>
      <c r="K75" s="129"/>
      <c r="L75" s="129"/>
      <c r="M75" s="129"/>
    </row>
    <row r="76" spans="1:13" s="6" customFormat="1" ht="13.5" customHeight="1" x14ac:dyDescent="0.2">
      <c r="A76" s="147"/>
      <c r="B76" s="147"/>
      <c r="C76" s="147"/>
      <c r="D76" s="11" t="s">
        <v>10</v>
      </c>
      <c r="E76" s="7">
        <f t="shared" si="7"/>
        <v>1118500</v>
      </c>
      <c r="F76" s="7">
        <f t="shared" ref="F76:H77" si="9">F55</f>
        <v>0</v>
      </c>
      <c r="G76" s="7">
        <f t="shared" si="9"/>
        <v>1118500</v>
      </c>
      <c r="H76" s="7">
        <f t="shared" si="9"/>
        <v>0</v>
      </c>
      <c r="I76" s="133"/>
      <c r="J76" s="130"/>
      <c r="K76" s="130"/>
      <c r="L76" s="130"/>
      <c r="M76" s="130"/>
    </row>
    <row r="77" spans="1:13" s="6" customFormat="1" ht="13.5" customHeight="1" x14ac:dyDescent="0.2">
      <c r="A77" s="147"/>
      <c r="B77" s="147"/>
      <c r="C77" s="147"/>
      <c r="D77" s="11" t="s">
        <v>11</v>
      </c>
      <c r="E77" s="7">
        <f t="shared" si="7"/>
        <v>4999125</v>
      </c>
      <c r="F77" s="7">
        <f t="shared" si="9"/>
        <v>806415</v>
      </c>
      <c r="G77" s="7">
        <f t="shared" si="9"/>
        <v>2130900</v>
      </c>
      <c r="H77" s="7">
        <f t="shared" si="9"/>
        <v>2061810</v>
      </c>
      <c r="I77" s="134"/>
      <c r="J77" s="131"/>
      <c r="K77" s="131"/>
      <c r="L77" s="131"/>
      <c r="M77" s="131"/>
    </row>
    <row r="78" spans="1:13" x14ac:dyDescent="0.25">
      <c r="A78" s="123" t="s">
        <v>66</v>
      </c>
      <c r="B78" s="123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0"/>
    </row>
    <row r="79" spans="1:13" s="6" customFormat="1" ht="15" customHeight="1" x14ac:dyDescent="0.2">
      <c r="A79" s="117" t="s">
        <v>107</v>
      </c>
      <c r="B79" s="120" t="s">
        <v>32</v>
      </c>
      <c r="C79" s="142"/>
      <c r="D79" s="3" t="s">
        <v>6</v>
      </c>
      <c r="E79" s="7">
        <f t="shared" ref="E79:E132" si="10">SUM(F79:H79)</f>
        <v>51212377</v>
      </c>
      <c r="F79" s="7">
        <f>SUM(F80:F81)</f>
        <v>18846257</v>
      </c>
      <c r="G79" s="7">
        <f>SUM(G80:G81)</f>
        <v>9064430</v>
      </c>
      <c r="H79" s="7">
        <f>SUM(H80:H81)</f>
        <v>23301690</v>
      </c>
      <c r="I79" s="132" t="s">
        <v>100</v>
      </c>
      <c r="J79" s="129" t="s">
        <v>9</v>
      </c>
      <c r="K79" s="129" t="s">
        <v>101</v>
      </c>
      <c r="L79" s="129" t="s">
        <v>102</v>
      </c>
      <c r="M79" s="129" t="s">
        <v>102</v>
      </c>
    </row>
    <row r="80" spans="1:13" s="6" customFormat="1" ht="15" customHeight="1" x14ac:dyDescent="0.2">
      <c r="A80" s="140"/>
      <c r="B80" s="138"/>
      <c r="C80" s="143"/>
      <c r="D80" s="11" t="s">
        <v>10</v>
      </c>
      <c r="E80" s="7">
        <f t="shared" si="10"/>
        <v>1600000</v>
      </c>
      <c r="F80" s="9">
        <f t="shared" ref="F80:H81" si="11">F83+F86+F89+F92+F95+F98+F101+F104+F107+F110+F113+F116+F119+F122+F125+F128+F131</f>
        <v>0</v>
      </c>
      <c r="G80" s="9">
        <f t="shared" si="11"/>
        <v>1600000</v>
      </c>
      <c r="H80" s="9">
        <f t="shared" si="11"/>
        <v>0</v>
      </c>
      <c r="I80" s="133"/>
      <c r="J80" s="130"/>
      <c r="K80" s="130"/>
      <c r="L80" s="130"/>
      <c r="M80" s="130"/>
    </row>
    <row r="81" spans="1:13" s="6" customFormat="1" ht="15" customHeight="1" x14ac:dyDescent="0.2">
      <c r="A81" s="141"/>
      <c r="B81" s="139"/>
      <c r="C81" s="144"/>
      <c r="D81" s="11" t="s">
        <v>11</v>
      </c>
      <c r="E81" s="7">
        <f t="shared" si="10"/>
        <v>49612377</v>
      </c>
      <c r="F81" s="9">
        <f t="shared" si="11"/>
        <v>18846257</v>
      </c>
      <c r="G81" s="9">
        <f t="shared" si="11"/>
        <v>7464430</v>
      </c>
      <c r="H81" s="9">
        <f t="shared" si="11"/>
        <v>23301690</v>
      </c>
      <c r="I81" s="134"/>
      <c r="J81" s="131"/>
      <c r="K81" s="131"/>
      <c r="L81" s="131"/>
      <c r="M81" s="131"/>
    </row>
    <row r="82" spans="1:13" ht="21" customHeight="1" outlineLevel="1" x14ac:dyDescent="0.25">
      <c r="A82" s="135" t="s">
        <v>108</v>
      </c>
      <c r="B82" s="132" t="s">
        <v>67</v>
      </c>
      <c r="C82" s="145" t="s">
        <v>75</v>
      </c>
      <c r="D82" s="3" t="s">
        <v>6</v>
      </c>
      <c r="E82" s="7">
        <f t="shared" si="10"/>
        <v>1741559.41</v>
      </c>
      <c r="F82" s="7">
        <f>SUM(F83:F84)</f>
        <v>45000</v>
      </c>
      <c r="G82" s="7">
        <f>SUM(G83:G84)</f>
        <v>304420.49</v>
      </c>
      <c r="H82" s="57">
        <v>1392138.92</v>
      </c>
      <c r="I82" s="132" t="s">
        <v>82</v>
      </c>
      <c r="J82" s="129" t="s">
        <v>9</v>
      </c>
      <c r="K82" s="129">
        <v>5</v>
      </c>
      <c r="L82" s="129">
        <v>10</v>
      </c>
      <c r="M82" s="129">
        <v>30.8</v>
      </c>
    </row>
    <row r="83" spans="1:13" ht="21" customHeight="1" outlineLevel="1" x14ac:dyDescent="0.25">
      <c r="A83" s="136"/>
      <c r="B83" s="133"/>
      <c r="C83" s="145"/>
      <c r="D83" s="4" t="s">
        <v>10</v>
      </c>
      <c r="E83" s="5">
        <f t="shared" si="10"/>
        <v>0</v>
      </c>
      <c r="F83" s="8">
        <v>0</v>
      </c>
      <c r="G83" s="8">
        <v>0</v>
      </c>
      <c r="H83" s="12">
        <v>0</v>
      </c>
      <c r="I83" s="133"/>
      <c r="J83" s="130"/>
      <c r="K83" s="130"/>
      <c r="L83" s="130"/>
      <c r="M83" s="130"/>
    </row>
    <row r="84" spans="1:13" ht="21" customHeight="1" outlineLevel="1" x14ac:dyDescent="0.25">
      <c r="A84" s="137"/>
      <c r="B84" s="134"/>
      <c r="C84" s="145"/>
      <c r="D84" s="4" t="s">
        <v>11</v>
      </c>
      <c r="E84" s="5">
        <f t="shared" si="10"/>
        <v>3959519.41</v>
      </c>
      <c r="F84" s="8">
        <v>45000</v>
      </c>
      <c r="G84" s="8">
        <f>304430-9.51</f>
        <v>304420.49</v>
      </c>
      <c r="H84" s="56">
        <v>3610098.92</v>
      </c>
      <c r="I84" s="134"/>
      <c r="J84" s="131"/>
      <c r="K84" s="131"/>
      <c r="L84" s="131"/>
      <c r="M84" s="131"/>
    </row>
    <row r="85" spans="1:13" ht="21" customHeight="1" outlineLevel="1" x14ac:dyDescent="0.25">
      <c r="A85" s="135" t="s">
        <v>109</v>
      </c>
      <c r="B85" s="132" t="s">
        <v>68</v>
      </c>
      <c r="C85" s="145" t="s">
        <v>75</v>
      </c>
      <c r="D85" s="3" t="s">
        <v>6</v>
      </c>
      <c r="E85" s="7">
        <f t="shared" si="10"/>
        <v>2684090.86</v>
      </c>
      <c r="F85" s="7">
        <f>SUM(F86:F87)</f>
        <v>1276987</v>
      </c>
      <c r="G85" s="7">
        <f>SUM(G86:G87)</f>
        <v>1407103.8599999999</v>
      </c>
      <c r="H85" s="57">
        <f>SUM(H86:H87)</f>
        <v>0</v>
      </c>
      <c r="I85" s="132" t="s">
        <v>79</v>
      </c>
      <c r="J85" s="129" t="s">
        <v>9</v>
      </c>
      <c r="K85" s="129">
        <v>95</v>
      </c>
      <c r="L85" s="129">
        <v>98</v>
      </c>
      <c r="M85" s="129">
        <v>98</v>
      </c>
    </row>
    <row r="86" spans="1:13" ht="21" customHeight="1" outlineLevel="1" x14ac:dyDescent="0.25">
      <c r="A86" s="136"/>
      <c r="B86" s="133"/>
      <c r="C86" s="145"/>
      <c r="D86" s="4" t="s">
        <v>10</v>
      </c>
      <c r="E86" s="5">
        <f t="shared" si="10"/>
        <v>711000</v>
      </c>
      <c r="F86" s="8">
        <v>0</v>
      </c>
      <c r="G86" s="12">
        <f>0+711000</f>
        <v>711000</v>
      </c>
      <c r="H86" s="12">
        <v>0</v>
      </c>
      <c r="I86" s="133"/>
      <c r="J86" s="130"/>
      <c r="K86" s="130"/>
      <c r="L86" s="130"/>
      <c r="M86" s="130"/>
    </row>
    <row r="87" spans="1:13" ht="21" customHeight="1" outlineLevel="1" x14ac:dyDescent="0.25">
      <c r="A87" s="137"/>
      <c r="B87" s="134"/>
      <c r="C87" s="145"/>
      <c r="D87" s="4" t="s">
        <v>11</v>
      </c>
      <c r="E87" s="5">
        <f t="shared" si="10"/>
        <v>1973090.8599999999</v>
      </c>
      <c r="F87" s="8">
        <v>1276987</v>
      </c>
      <c r="G87" s="8">
        <f>1416620-9500-711000-16.14</f>
        <v>696103.86</v>
      </c>
      <c r="H87" s="12">
        <v>0</v>
      </c>
      <c r="I87" s="134"/>
      <c r="J87" s="131"/>
      <c r="K87" s="131"/>
      <c r="L87" s="131"/>
      <c r="M87" s="131"/>
    </row>
    <row r="88" spans="1:13" ht="21" customHeight="1" outlineLevel="1" x14ac:dyDescent="0.25">
      <c r="A88" s="135" t="s">
        <v>110</v>
      </c>
      <c r="B88" s="132" t="s">
        <v>33</v>
      </c>
      <c r="C88" s="145" t="s">
        <v>75</v>
      </c>
      <c r="D88" s="3" t="s">
        <v>6</v>
      </c>
      <c r="E88" s="7">
        <f t="shared" si="10"/>
        <v>647348</v>
      </c>
      <c r="F88" s="7">
        <f>SUM(F89:F90)</f>
        <v>245550</v>
      </c>
      <c r="G88" s="7">
        <f>SUM(G89:G90)</f>
        <v>0</v>
      </c>
      <c r="H88" s="57">
        <f>SUM(H89:H90)</f>
        <v>401798</v>
      </c>
      <c r="I88" s="132" t="s">
        <v>80</v>
      </c>
      <c r="J88" s="129" t="s">
        <v>9</v>
      </c>
      <c r="K88" s="129">
        <v>85</v>
      </c>
      <c r="L88" s="129">
        <v>85</v>
      </c>
      <c r="M88" s="129">
        <v>89</v>
      </c>
    </row>
    <row r="89" spans="1:13" ht="21" customHeight="1" outlineLevel="1" x14ac:dyDescent="0.25">
      <c r="A89" s="136"/>
      <c r="B89" s="133"/>
      <c r="C89" s="145"/>
      <c r="D89" s="4" t="s">
        <v>10</v>
      </c>
      <c r="E89" s="5">
        <f t="shared" si="10"/>
        <v>0</v>
      </c>
      <c r="F89" s="8">
        <v>0</v>
      </c>
      <c r="G89" s="8">
        <v>0</v>
      </c>
      <c r="H89" s="12">
        <v>0</v>
      </c>
      <c r="I89" s="133"/>
      <c r="J89" s="130"/>
      <c r="K89" s="130"/>
      <c r="L89" s="130"/>
      <c r="M89" s="130"/>
    </row>
    <row r="90" spans="1:13" ht="21" customHeight="1" outlineLevel="1" x14ac:dyDescent="0.25">
      <c r="A90" s="137"/>
      <c r="B90" s="134"/>
      <c r="C90" s="145"/>
      <c r="D90" s="4" t="s">
        <v>11</v>
      </c>
      <c r="E90" s="5">
        <f t="shared" si="10"/>
        <v>647348</v>
      </c>
      <c r="F90" s="8">
        <v>245550</v>
      </c>
      <c r="G90" s="8">
        <v>0</v>
      </c>
      <c r="H90" s="12">
        <v>401798</v>
      </c>
      <c r="I90" s="134"/>
      <c r="J90" s="131"/>
      <c r="K90" s="131"/>
      <c r="L90" s="131"/>
      <c r="M90" s="131"/>
    </row>
    <row r="91" spans="1:13" ht="21" customHeight="1" outlineLevel="1" x14ac:dyDescent="0.25">
      <c r="A91" s="135" t="s">
        <v>111</v>
      </c>
      <c r="B91" s="132" t="s">
        <v>34</v>
      </c>
      <c r="C91" s="145" t="s">
        <v>75</v>
      </c>
      <c r="D91" s="3" t="s">
        <v>6</v>
      </c>
      <c r="E91" s="7">
        <f t="shared" si="10"/>
        <v>1186031</v>
      </c>
      <c r="F91" s="7">
        <f>SUM(F92:F93)</f>
        <v>749581</v>
      </c>
      <c r="G91" s="7">
        <f>SUM(G92:G93)</f>
        <v>291920</v>
      </c>
      <c r="H91" s="57">
        <f>SUM(H92:H93)</f>
        <v>144530</v>
      </c>
      <c r="I91" s="132" t="s">
        <v>81</v>
      </c>
      <c r="J91" s="129" t="s">
        <v>9</v>
      </c>
      <c r="K91" s="129">
        <v>80</v>
      </c>
      <c r="L91" s="129">
        <v>85</v>
      </c>
      <c r="M91" s="129">
        <v>89</v>
      </c>
    </row>
    <row r="92" spans="1:13" ht="21" customHeight="1" outlineLevel="1" x14ac:dyDescent="0.25">
      <c r="A92" s="136"/>
      <c r="B92" s="133"/>
      <c r="C92" s="145"/>
      <c r="D92" s="4" t="s">
        <v>10</v>
      </c>
      <c r="E92" s="5">
        <f t="shared" si="10"/>
        <v>0</v>
      </c>
      <c r="F92" s="8">
        <v>0</v>
      </c>
      <c r="G92" s="8">
        <v>0</v>
      </c>
      <c r="H92" s="12">
        <v>0</v>
      </c>
      <c r="I92" s="133"/>
      <c r="J92" s="130"/>
      <c r="K92" s="130"/>
      <c r="L92" s="130"/>
      <c r="M92" s="130"/>
    </row>
    <row r="93" spans="1:13" ht="21" customHeight="1" outlineLevel="1" x14ac:dyDescent="0.25">
      <c r="A93" s="137"/>
      <c r="B93" s="134"/>
      <c r="C93" s="145"/>
      <c r="D93" s="4" t="s">
        <v>11</v>
      </c>
      <c r="E93" s="5">
        <f t="shared" si="10"/>
        <v>1186031</v>
      </c>
      <c r="F93" s="8">
        <v>749581</v>
      </c>
      <c r="G93" s="8">
        <f>291920</f>
        <v>291920</v>
      </c>
      <c r="H93" s="12">
        <v>144530</v>
      </c>
      <c r="I93" s="134"/>
      <c r="J93" s="131"/>
      <c r="K93" s="131"/>
      <c r="L93" s="131"/>
      <c r="M93" s="131"/>
    </row>
    <row r="94" spans="1:13" ht="21" customHeight="1" outlineLevel="1" x14ac:dyDescent="0.25">
      <c r="A94" s="135" t="s">
        <v>112</v>
      </c>
      <c r="B94" s="132" t="s">
        <v>35</v>
      </c>
      <c r="C94" s="145" t="s">
        <v>75</v>
      </c>
      <c r="D94" s="3" t="s">
        <v>6</v>
      </c>
      <c r="E94" s="7">
        <f>SUM(F94:H94)</f>
        <v>20461586.52</v>
      </c>
      <c r="F94" s="7">
        <f>SUM(F95:F96)</f>
        <v>8431992</v>
      </c>
      <c r="G94" s="7">
        <f>SUM(G95:G96)</f>
        <v>3142177.2</v>
      </c>
      <c r="H94" s="57">
        <f>SUM(H95:H96)</f>
        <v>8887417.3200000003</v>
      </c>
      <c r="I94" s="132" t="s">
        <v>83</v>
      </c>
      <c r="J94" s="129" t="s">
        <v>9</v>
      </c>
      <c r="K94" s="129">
        <v>90</v>
      </c>
      <c r="L94" s="129">
        <v>95</v>
      </c>
      <c r="M94" s="129">
        <v>95</v>
      </c>
    </row>
    <row r="95" spans="1:13" ht="21" customHeight="1" outlineLevel="1" x14ac:dyDescent="0.25">
      <c r="A95" s="136"/>
      <c r="B95" s="133"/>
      <c r="C95" s="145"/>
      <c r="D95" s="4" t="s">
        <v>10</v>
      </c>
      <c r="E95" s="5">
        <f t="shared" si="10"/>
        <v>889000</v>
      </c>
      <c r="F95" s="8">
        <v>0</v>
      </c>
      <c r="G95" s="8">
        <f>0+889000</f>
        <v>889000</v>
      </c>
      <c r="H95" s="12">
        <v>0</v>
      </c>
      <c r="I95" s="133"/>
      <c r="J95" s="130"/>
      <c r="K95" s="130"/>
      <c r="L95" s="130"/>
      <c r="M95" s="130"/>
    </row>
    <row r="96" spans="1:13" ht="21" customHeight="1" outlineLevel="1" x14ac:dyDescent="0.25">
      <c r="A96" s="137"/>
      <c r="B96" s="134"/>
      <c r="C96" s="145"/>
      <c r="D96" s="4" t="s">
        <v>11</v>
      </c>
      <c r="E96" s="5">
        <f t="shared" si="10"/>
        <v>19572586.52</v>
      </c>
      <c r="F96" s="8">
        <v>8431992</v>
      </c>
      <c r="G96" s="8">
        <f>3202020-889000-59842.8</f>
        <v>2253177.2000000002</v>
      </c>
      <c r="H96" s="56">
        <v>8887417.3200000003</v>
      </c>
      <c r="I96" s="134"/>
      <c r="J96" s="131"/>
      <c r="K96" s="131"/>
      <c r="L96" s="131"/>
      <c r="M96" s="131"/>
    </row>
    <row r="97" spans="1:13" ht="21" customHeight="1" outlineLevel="1" x14ac:dyDescent="0.25">
      <c r="A97" s="135" t="s">
        <v>113</v>
      </c>
      <c r="B97" s="132" t="s">
        <v>36</v>
      </c>
      <c r="C97" s="145" t="s">
        <v>75</v>
      </c>
      <c r="D97" s="3" t="s">
        <v>6</v>
      </c>
      <c r="E97" s="7">
        <f>SUM(F97:H97)</f>
        <v>3163045</v>
      </c>
      <c r="F97" s="7">
        <f>SUM(F98:F99)</f>
        <v>2676315</v>
      </c>
      <c r="G97" s="7">
        <f>SUM(G98:G99)</f>
        <v>486730</v>
      </c>
      <c r="H97" s="57">
        <f>SUM(H98:H99)</f>
        <v>0</v>
      </c>
      <c r="I97" s="132" t="s">
        <v>84</v>
      </c>
      <c r="J97" s="129" t="s">
        <v>9</v>
      </c>
      <c r="K97" s="129">
        <v>95</v>
      </c>
      <c r="L97" s="129">
        <v>95</v>
      </c>
      <c r="M97" s="129" t="s">
        <v>93</v>
      </c>
    </row>
    <row r="98" spans="1:13" ht="21" customHeight="1" outlineLevel="1" x14ac:dyDescent="0.25">
      <c r="A98" s="136"/>
      <c r="B98" s="133"/>
      <c r="C98" s="145"/>
      <c r="D98" s="4" t="s">
        <v>10</v>
      </c>
      <c r="E98" s="5">
        <f t="shared" si="10"/>
        <v>0</v>
      </c>
      <c r="F98" s="8">
        <v>0</v>
      </c>
      <c r="G98" s="8">
        <v>0</v>
      </c>
      <c r="H98" s="12">
        <v>0</v>
      </c>
      <c r="I98" s="133"/>
      <c r="J98" s="130"/>
      <c r="K98" s="130"/>
      <c r="L98" s="130"/>
      <c r="M98" s="130"/>
    </row>
    <row r="99" spans="1:13" ht="21" customHeight="1" outlineLevel="1" x14ac:dyDescent="0.25">
      <c r="A99" s="137"/>
      <c r="B99" s="134"/>
      <c r="C99" s="145"/>
      <c r="D99" s="4" t="s">
        <v>11</v>
      </c>
      <c r="E99" s="5">
        <f t="shared" si="10"/>
        <v>3163045</v>
      </c>
      <c r="F99" s="8">
        <v>2676315</v>
      </c>
      <c r="G99" s="8">
        <v>486730</v>
      </c>
      <c r="H99" s="12">
        <v>0</v>
      </c>
      <c r="I99" s="134"/>
      <c r="J99" s="131"/>
      <c r="K99" s="131"/>
      <c r="L99" s="131"/>
      <c r="M99" s="131"/>
    </row>
    <row r="100" spans="1:13" ht="21" customHeight="1" outlineLevel="1" x14ac:dyDescent="0.25">
      <c r="A100" s="135" t="s">
        <v>114</v>
      </c>
      <c r="B100" s="132" t="s">
        <v>37</v>
      </c>
      <c r="C100" s="145" t="s">
        <v>75</v>
      </c>
      <c r="D100" s="3" t="s">
        <v>6</v>
      </c>
      <c r="E100" s="7">
        <f>SUM(F100:H100)</f>
        <v>526811</v>
      </c>
      <c r="F100" s="7">
        <f>SUM(F101:F102)</f>
        <v>379584</v>
      </c>
      <c r="G100" s="7">
        <f>SUM(G101:G102)</f>
        <v>25000</v>
      </c>
      <c r="H100" s="57">
        <f>SUM(H101:H102)</f>
        <v>122227</v>
      </c>
      <c r="I100" s="132" t="s">
        <v>85</v>
      </c>
      <c r="J100" s="129" t="s">
        <v>9</v>
      </c>
      <c r="K100" s="129">
        <v>20</v>
      </c>
      <c r="L100" s="129">
        <v>20</v>
      </c>
      <c r="M100" s="129">
        <v>24.1</v>
      </c>
    </row>
    <row r="101" spans="1:13" ht="21" customHeight="1" outlineLevel="1" x14ac:dyDescent="0.25">
      <c r="A101" s="136"/>
      <c r="B101" s="133"/>
      <c r="C101" s="145"/>
      <c r="D101" s="4" t="s">
        <v>10</v>
      </c>
      <c r="E101" s="5">
        <f t="shared" si="10"/>
        <v>0</v>
      </c>
      <c r="F101" s="8">
        <v>0</v>
      </c>
      <c r="G101" s="8">
        <v>0</v>
      </c>
      <c r="H101" s="12">
        <v>0</v>
      </c>
      <c r="I101" s="133"/>
      <c r="J101" s="130"/>
      <c r="K101" s="130"/>
      <c r="L101" s="130"/>
      <c r="M101" s="130"/>
    </row>
    <row r="102" spans="1:13" ht="21" customHeight="1" outlineLevel="1" x14ac:dyDescent="0.25">
      <c r="A102" s="137"/>
      <c r="B102" s="134"/>
      <c r="C102" s="145"/>
      <c r="D102" s="4" t="s">
        <v>11</v>
      </c>
      <c r="E102" s="5">
        <f t="shared" si="10"/>
        <v>526811</v>
      </c>
      <c r="F102" s="8">
        <v>379584</v>
      </c>
      <c r="G102" s="8">
        <v>25000</v>
      </c>
      <c r="H102" s="12">
        <v>122227</v>
      </c>
      <c r="I102" s="134"/>
      <c r="J102" s="131"/>
      <c r="K102" s="131"/>
      <c r="L102" s="131"/>
      <c r="M102" s="131"/>
    </row>
    <row r="103" spans="1:13" ht="21" customHeight="1" outlineLevel="1" x14ac:dyDescent="0.25">
      <c r="A103" s="135" t="s">
        <v>115</v>
      </c>
      <c r="B103" s="132" t="s">
        <v>38</v>
      </c>
      <c r="C103" s="145" t="s">
        <v>75</v>
      </c>
      <c r="D103" s="3" t="s">
        <v>6</v>
      </c>
      <c r="E103" s="7">
        <f>SUM(F103:H103)</f>
        <v>737750</v>
      </c>
      <c r="F103" s="7">
        <f>SUM(F104:F105)</f>
        <v>737750</v>
      </c>
      <c r="G103" s="7">
        <f>SUM(G104:G105)</f>
        <v>0</v>
      </c>
      <c r="H103" s="57">
        <f>SUM(H104:H105)</f>
        <v>0</v>
      </c>
      <c r="I103" s="132" t="s">
        <v>86</v>
      </c>
      <c r="J103" s="129" t="s">
        <v>9</v>
      </c>
      <c r="K103" s="129">
        <v>95</v>
      </c>
      <c r="L103" s="129">
        <v>95</v>
      </c>
      <c r="M103" s="129">
        <v>95</v>
      </c>
    </row>
    <row r="104" spans="1:13" ht="21" customHeight="1" outlineLevel="1" x14ac:dyDescent="0.25">
      <c r="A104" s="136"/>
      <c r="B104" s="133"/>
      <c r="C104" s="145"/>
      <c r="D104" s="4" t="s">
        <v>10</v>
      </c>
      <c r="E104" s="5">
        <f t="shared" si="10"/>
        <v>0</v>
      </c>
      <c r="F104" s="8">
        <v>0</v>
      </c>
      <c r="G104" s="8">
        <v>0</v>
      </c>
      <c r="H104" s="12">
        <v>0</v>
      </c>
      <c r="I104" s="133"/>
      <c r="J104" s="130"/>
      <c r="K104" s="130"/>
      <c r="L104" s="130"/>
      <c r="M104" s="130"/>
    </row>
    <row r="105" spans="1:13" ht="21" customHeight="1" outlineLevel="1" x14ac:dyDescent="0.25">
      <c r="A105" s="137"/>
      <c r="B105" s="134"/>
      <c r="C105" s="145"/>
      <c r="D105" s="4" t="s">
        <v>11</v>
      </c>
      <c r="E105" s="5">
        <f t="shared" si="10"/>
        <v>737750</v>
      </c>
      <c r="F105" s="8">
        <v>737750</v>
      </c>
      <c r="G105" s="8">
        <v>0</v>
      </c>
      <c r="H105" s="12">
        <v>0</v>
      </c>
      <c r="I105" s="134"/>
      <c r="J105" s="131"/>
      <c r="K105" s="131"/>
      <c r="L105" s="131"/>
      <c r="M105" s="131"/>
    </row>
    <row r="106" spans="1:13" ht="21" customHeight="1" outlineLevel="1" x14ac:dyDescent="0.25">
      <c r="A106" s="135" t="s">
        <v>116</v>
      </c>
      <c r="B106" s="132" t="s">
        <v>69</v>
      </c>
      <c r="C106" s="145" t="s">
        <v>75</v>
      </c>
      <c r="D106" s="3" t="s">
        <v>6</v>
      </c>
      <c r="E106" s="7">
        <f>SUM(F106:H106)</f>
        <v>571128.87</v>
      </c>
      <c r="F106" s="7">
        <f>SUM(F107:F108)</f>
        <v>80300</v>
      </c>
      <c r="G106" s="7">
        <f>SUM(G107:G108)</f>
        <v>438258.87</v>
      </c>
      <c r="H106" s="57">
        <f>SUM(H107:H108)</f>
        <v>52570</v>
      </c>
      <c r="I106" s="132" t="s">
        <v>87</v>
      </c>
      <c r="J106" s="129" t="s">
        <v>9</v>
      </c>
      <c r="K106" s="129">
        <v>5</v>
      </c>
      <c r="L106" s="129">
        <v>10</v>
      </c>
      <c r="M106" s="129">
        <v>10</v>
      </c>
    </row>
    <row r="107" spans="1:13" ht="21" customHeight="1" outlineLevel="1" x14ac:dyDescent="0.25">
      <c r="A107" s="136"/>
      <c r="B107" s="133"/>
      <c r="C107" s="145"/>
      <c r="D107" s="4" t="s">
        <v>10</v>
      </c>
      <c r="E107" s="5">
        <f t="shared" si="10"/>
        <v>0</v>
      </c>
      <c r="F107" s="8">
        <v>0</v>
      </c>
      <c r="G107" s="8">
        <v>0</v>
      </c>
      <c r="H107" s="12">
        <v>0</v>
      </c>
      <c r="I107" s="133"/>
      <c r="J107" s="130"/>
      <c r="K107" s="130"/>
      <c r="L107" s="130"/>
      <c r="M107" s="130"/>
    </row>
    <row r="108" spans="1:13" ht="21" customHeight="1" outlineLevel="1" x14ac:dyDescent="0.25">
      <c r="A108" s="137"/>
      <c r="B108" s="134"/>
      <c r="C108" s="145"/>
      <c r="D108" s="4" t="s">
        <v>11</v>
      </c>
      <c r="E108" s="5">
        <f t="shared" si="10"/>
        <v>571128.87</v>
      </c>
      <c r="F108" s="8">
        <v>80300</v>
      </c>
      <c r="G108" s="8">
        <f>600010-161751.13</f>
        <v>438258.87</v>
      </c>
      <c r="H108" s="56">
        <v>52570</v>
      </c>
      <c r="I108" s="134"/>
      <c r="J108" s="131"/>
      <c r="K108" s="131"/>
      <c r="L108" s="131"/>
      <c r="M108" s="131"/>
    </row>
    <row r="109" spans="1:13" ht="21" customHeight="1" outlineLevel="1" x14ac:dyDescent="0.25">
      <c r="A109" s="135" t="s">
        <v>117</v>
      </c>
      <c r="B109" s="132" t="s">
        <v>39</v>
      </c>
      <c r="C109" s="145" t="s">
        <v>75</v>
      </c>
      <c r="D109" s="3" t="s">
        <v>6</v>
      </c>
      <c r="E109" s="7">
        <f>SUM(F109:H109)</f>
        <v>841432</v>
      </c>
      <c r="F109" s="7">
        <f>SUM(F110:F111)</f>
        <v>541432</v>
      </c>
      <c r="G109" s="7">
        <f>SUM(G110:G111)</f>
        <v>300000</v>
      </c>
      <c r="H109" s="57">
        <f>SUM(H110:H111)</f>
        <v>0</v>
      </c>
      <c r="I109" s="132" t="s">
        <v>88</v>
      </c>
      <c r="J109" s="129" t="s">
        <v>9</v>
      </c>
      <c r="K109" s="129">
        <v>55</v>
      </c>
      <c r="L109" s="129">
        <v>60</v>
      </c>
      <c r="M109" s="129">
        <v>100</v>
      </c>
    </row>
    <row r="110" spans="1:13" ht="21" customHeight="1" outlineLevel="1" x14ac:dyDescent="0.25">
      <c r="A110" s="136"/>
      <c r="B110" s="133"/>
      <c r="C110" s="145"/>
      <c r="D110" s="4" t="s">
        <v>10</v>
      </c>
      <c r="E110" s="5">
        <f t="shared" si="10"/>
        <v>0</v>
      </c>
      <c r="F110" s="8">
        <v>0</v>
      </c>
      <c r="G110" s="8">
        <v>0</v>
      </c>
      <c r="H110" s="12">
        <v>0</v>
      </c>
      <c r="I110" s="133"/>
      <c r="J110" s="130"/>
      <c r="K110" s="130"/>
      <c r="L110" s="130"/>
      <c r="M110" s="130"/>
    </row>
    <row r="111" spans="1:13" ht="21" customHeight="1" outlineLevel="1" x14ac:dyDescent="0.25">
      <c r="A111" s="137"/>
      <c r="B111" s="134"/>
      <c r="C111" s="145"/>
      <c r="D111" s="4" t="s">
        <v>11</v>
      </c>
      <c r="E111" s="5">
        <f t="shared" si="10"/>
        <v>841432</v>
      </c>
      <c r="F111" s="8">
        <v>541432</v>
      </c>
      <c r="G111" s="8">
        <v>300000</v>
      </c>
      <c r="H111" s="12">
        <v>0</v>
      </c>
      <c r="I111" s="134"/>
      <c r="J111" s="131"/>
      <c r="K111" s="131"/>
      <c r="L111" s="131"/>
      <c r="M111" s="131"/>
    </row>
    <row r="112" spans="1:13" ht="21" customHeight="1" outlineLevel="1" x14ac:dyDescent="0.25">
      <c r="A112" s="135" t="s">
        <v>118</v>
      </c>
      <c r="B112" s="132" t="s">
        <v>40</v>
      </c>
      <c r="C112" s="145" t="s">
        <v>75</v>
      </c>
      <c r="D112" s="3" t="s">
        <v>6</v>
      </c>
      <c r="E112" s="7">
        <f>SUM(F112:H112)</f>
        <v>1848102</v>
      </c>
      <c r="F112" s="7">
        <f>SUM(F113:F114)</f>
        <v>1463200</v>
      </c>
      <c r="G112" s="7">
        <f>SUM(G113:G114)</f>
        <v>0</v>
      </c>
      <c r="H112" s="57">
        <f>SUM(H113:H114)</f>
        <v>384902</v>
      </c>
      <c r="I112" s="132" t="s">
        <v>89</v>
      </c>
      <c r="J112" s="129" t="s">
        <v>9</v>
      </c>
      <c r="K112" s="129">
        <v>95</v>
      </c>
      <c r="L112" s="129">
        <v>95</v>
      </c>
      <c r="M112" s="129">
        <v>96</v>
      </c>
    </row>
    <row r="113" spans="1:13" ht="21" customHeight="1" outlineLevel="1" x14ac:dyDescent="0.25">
      <c r="A113" s="136"/>
      <c r="B113" s="133"/>
      <c r="C113" s="145"/>
      <c r="D113" s="4" t="s">
        <v>10</v>
      </c>
      <c r="E113" s="5">
        <f t="shared" si="10"/>
        <v>0</v>
      </c>
      <c r="F113" s="8">
        <v>0</v>
      </c>
      <c r="G113" s="8">
        <v>0</v>
      </c>
      <c r="H113" s="12">
        <v>0</v>
      </c>
      <c r="I113" s="133"/>
      <c r="J113" s="130"/>
      <c r="K113" s="130"/>
      <c r="L113" s="130"/>
      <c r="M113" s="130"/>
    </row>
    <row r="114" spans="1:13" ht="21" customHeight="1" outlineLevel="1" x14ac:dyDescent="0.25">
      <c r="A114" s="137"/>
      <c r="B114" s="134"/>
      <c r="C114" s="145"/>
      <c r="D114" s="4" t="s">
        <v>11</v>
      </c>
      <c r="E114" s="5">
        <f t="shared" si="10"/>
        <v>1848102</v>
      </c>
      <c r="F114" s="8">
        <v>1463200</v>
      </c>
      <c r="G114" s="8">
        <v>0</v>
      </c>
      <c r="H114" s="12">
        <v>384902</v>
      </c>
      <c r="I114" s="134"/>
      <c r="J114" s="131"/>
      <c r="K114" s="131"/>
      <c r="L114" s="131"/>
      <c r="M114" s="131"/>
    </row>
    <row r="115" spans="1:13" ht="21" customHeight="1" outlineLevel="1" x14ac:dyDescent="0.25">
      <c r="A115" s="135" t="s">
        <v>119</v>
      </c>
      <c r="B115" s="132" t="s">
        <v>126</v>
      </c>
      <c r="C115" s="145" t="s">
        <v>75</v>
      </c>
      <c r="D115" s="3" t="s">
        <v>6</v>
      </c>
      <c r="E115" s="7">
        <f>SUM(F115:H115)</f>
        <v>403715.4</v>
      </c>
      <c r="F115" s="7">
        <f>SUM(F116:F117)</f>
        <v>100000</v>
      </c>
      <c r="G115" s="7">
        <f>SUM(G116:G117)</f>
        <v>201050</v>
      </c>
      <c r="H115" s="57">
        <f>SUM(H116:H117)</f>
        <v>102665.4</v>
      </c>
      <c r="I115" s="132" t="s">
        <v>90</v>
      </c>
      <c r="J115" s="129" t="s">
        <v>9</v>
      </c>
      <c r="K115" s="129">
        <v>95</v>
      </c>
      <c r="L115" s="129">
        <v>97</v>
      </c>
      <c r="M115" s="129">
        <v>100</v>
      </c>
    </row>
    <row r="116" spans="1:13" ht="21" customHeight="1" outlineLevel="1" x14ac:dyDescent="0.25">
      <c r="A116" s="136"/>
      <c r="B116" s="133"/>
      <c r="C116" s="145"/>
      <c r="D116" s="4" t="s">
        <v>10</v>
      </c>
      <c r="E116" s="5">
        <f t="shared" si="10"/>
        <v>0</v>
      </c>
      <c r="F116" s="8">
        <v>0</v>
      </c>
      <c r="G116" s="8">
        <v>0</v>
      </c>
      <c r="H116" s="12">
        <v>0</v>
      </c>
      <c r="I116" s="133"/>
      <c r="J116" s="130"/>
      <c r="K116" s="130"/>
      <c r="L116" s="130"/>
      <c r="M116" s="130"/>
    </row>
    <row r="117" spans="1:13" ht="21" customHeight="1" outlineLevel="1" x14ac:dyDescent="0.25">
      <c r="A117" s="137"/>
      <c r="B117" s="134"/>
      <c r="C117" s="145"/>
      <c r="D117" s="4" t="s">
        <v>11</v>
      </c>
      <c r="E117" s="5">
        <f t="shared" si="10"/>
        <v>403715.4</v>
      </c>
      <c r="F117" s="8">
        <v>100000</v>
      </c>
      <c r="G117" s="8">
        <f>27000+174050</f>
        <v>201050</v>
      </c>
      <c r="H117" s="12">
        <v>102665.4</v>
      </c>
      <c r="I117" s="134"/>
      <c r="J117" s="131"/>
      <c r="K117" s="131"/>
      <c r="L117" s="131"/>
      <c r="M117" s="131"/>
    </row>
    <row r="118" spans="1:13" ht="21" customHeight="1" outlineLevel="1" x14ac:dyDescent="0.25">
      <c r="A118" s="135" t="s">
        <v>120</v>
      </c>
      <c r="B118" s="132" t="s">
        <v>127</v>
      </c>
      <c r="C118" s="145" t="s">
        <v>75</v>
      </c>
      <c r="D118" s="3" t="s">
        <v>6</v>
      </c>
      <c r="E118" s="7">
        <f>SUM(F118:H118)</f>
        <v>1230505</v>
      </c>
      <c r="F118" s="7">
        <f>SUM(F119:F120)</f>
        <v>740166</v>
      </c>
      <c r="G118" s="7">
        <f>SUM(G119:G120)</f>
        <v>199999</v>
      </c>
      <c r="H118" s="57">
        <v>290340</v>
      </c>
      <c r="I118" s="132" t="s">
        <v>128</v>
      </c>
      <c r="J118" s="129" t="s">
        <v>9</v>
      </c>
      <c r="K118" s="129">
        <v>90</v>
      </c>
      <c r="L118" s="129">
        <v>95</v>
      </c>
      <c r="M118" s="129">
        <v>97</v>
      </c>
    </row>
    <row r="119" spans="1:13" ht="21" customHeight="1" outlineLevel="1" x14ac:dyDescent="0.25">
      <c r="A119" s="136"/>
      <c r="B119" s="133"/>
      <c r="C119" s="145"/>
      <c r="D119" s="4" t="s">
        <v>10</v>
      </c>
      <c r="E119" s="5">
        <f t="shared" si="10"/>
        <v>0</v>
      </c>
      <c r="F119" s="8">
        <v>0</v>
      </c>
      <c r="G119" s="8">
        <v>0</v>
      </c>
      <c r="H119" s="12">
        <v>0</v>
      </c>
      <c r="I119" s="133"/>
      <c r="J119" s="130"/>
      <c r="K119" s="130"/>
      <c r="L119" s="130"/>
      <c r="M119" s="130"/>
    </row>
    <row r="120" spans="1:13" ht="21" customHeight="1" outlineLevel="1" x14ac:dyDescent="0.25">
      <c r="A120" s="137"/>
      <c r="B120" s="134"/>
      <c r="C120" s="145"/>
      <c r="D120" s="4" t="s">
        <v>11</v>
      </c>
      <c r="E120" s="5">
        <f t="shared" si="10"/>
        <v>4541150</v>
      </c>
      <c r="F120" s="8">
        <v>740166</v>
      </c>
      <c r="G120" s="8">
        <f>200000-1</f>
        <v>199999</v>
      </c>
      <c r="H120" s="56">
        <v>3600985</v>
      </c>
      <c r="I120" s="134"/>
      <c r="J120" s="131"/>
      <c r="K120" s="131"/>
      <c r="L120" s="131"/>
      <c r="M120" s="131"/>
    </row>
    <row r="121" spans="1:13" ht="21" customHeight="1" outlineLevel="1" x14ac:dyDescent="0.25">
      <c r="A121" s="135" t="s">
        <v>121</v>
      </c>
      <c r="B121" s="132" t="s">
        <v>70</v>
      </c>
      <c r="C121" s="145" t="s">
        <v>75</v>
      </c>
      <c r="D121" s="3" t="s">
        <v>6</v>
      </c>
      <c r="E121" s="7">
        <f>SUM(F121:H121)</f>
        <v>1378400</v>
      </c>
      <c r="F121" s="7">
        <f>SUM(F122:F123)</f>
        <v>1378400</v>
      </c>
      <c r="G121" s="7">
        <f>SUM(G122:G123)</f>
        <v>0</v>
      </c>
      <c r="H121" s="57">
        <f>SUM(H122:H123)</f>
        <v>0</v>
      </c>
      <c r="I121" s="132" t="s">
        <v>91</v>
      </c>
      <c r="J121" s="129" t="s">
        <v>9</v>
      </c>
      <c r="K121" s="129">
        <v>100</v>
      </c>
      <c r="L121" s="129" t="s">
        <v>93</v>
      </c>
      <c r="M121" s="135" t="s">
        <v>93</v>
      </c>
    </row>
    <row r="122" spans="1:13" ht="21" customHeight="1" outlineLevel="1" x14ac:dyDescent="0.25">
      <c r="A122" s="136"/>
      <c r="B122" s="133"/>
      <c r="C122" s="145"/>
      <c r="D122" s="4" t="s">
        <v>10</v>
      </c>
      <c r="E122" s="5">
        <f t="shared" si="10"/>
        <v>0</v>
      </c>
      <c r="F122" s="8">
        <v>0</v>
      </c>
      <c r="G122" s="8">
        <v>0</v>
      </c>
      <c r="H122" s="12">
        <v>0</v>
      </c>
      <c r="I122" s="133"/>
      <c r="J122" s="130"/>
      <c r="K122" s="130"/>
      <c r="L122" s="130"/>
      <c r="M122" s="136"/>
    </row>
    <row r="123" spans="1:13" ht="21" customHeight="1" outlineLevel="1" x14ac:dyDescent="0.25">
      <c r="A123" s="137"/>
      <c r="B123" s="134"/>
      <c r="C123" s="145"/>
      <c r="D123" s="4" t="s">
        <v>11</v>
      </c>
      <c r="E123" s="5">
        <f t="shared" si="10"/>
        <v>1378400</v>
      </c>
      <c r="F123" s="8">
        <v>1378400</v>
      </c>
      <c r="G123" s="8">
        <v>0</v>
      </c>
      <c r="H123" s="12">
        <v>0</v>
      </c>
      <c r="I123" s="134"/>
      <c r="J123" s="131"/>
      <c r="K123" s="131"/>
      <c r="L123" s="131"/>
      <c r="M123" s="137"/>
    </row>
    <row r="124" spans="1:13" ht="21" customHeight="1" outlineLevel="1" x14ac:dyDescent="0.25">
      <c r="A124" s="135" t="s">
        <v>122</v>
      </c>
      <c r="B124" s="132" t="s">
        <v>41</v>
      </c>
      <c r="C124" s="145" t="s">
        <v>75</v>
      </c>
      <c r="D124" s="3" t="s">
        <v>6</v>
      </c>
      <c r="E124" s="7">
        <f>SUM(F124:H124)</f>
        <v>1057561.6000000001</v>
      </c>
      <c r="F124" s="7">
        <f>SUM(F125:F126)</f>
        <v>0</v>
      </c>
      <c r="G124" s="7">
        <f>SUM(G125:G126)</f>
        <v>1057561.6000000001</v>
      </c>
      <c r="H124" s="57">
        <f>SUM(H125:H126)</f>
        <v>0</v>
      </c>
      <c r="I124" s="132" t="s">
        <v>92</v>
      </c>
      <c r="J124" s="129" t="s">
        <v>9</v>
      </c>
      <c r="K124" s="129" t="s">
        <v>93</v>
      </c>
      <c r="L124" s="129">
        <v>15</v>
      </c>
      <c r="M124" s="129">
        <v>15</v>
      </c>
    </row>
    <row r="125" spans="1:13" ht="21" customHeight="1" outlineLevel="1" x14ac:dyDescent="0.25">
      <c r="A125" s="136"/>
      <c r="B125" s="133"/>
      <c r="C125" s="145"/>
      <c r="D125" s="4" t="s">
        <v>10</v>
      </c>
      <c r="E125" s="5">
        <f t="shared" si="10"/>
        <v>0</v>
      </c>
      <c r="F125" s="8">
        <v>0</v>
      </c>
      <c r="G125" s="8">
        <v>0</v>
      </c>
      <c r="H125" s="12">
        <v>0</v>
      </c>
      <c r="I125" s="133"/>
      <c r="J125" s="130"/>
      <c r="K125" s="130"/>
      <c r="L125" s="130"/>
      <c r="M125" s="130"/>
    </row>
    <row r="126" spans="1:13" ht="21" customHeight="1" outlineLevel="1" x14ac:dyDescent="0.25">
      <c r="A126" s="137"/>
      <c r="B126" s="134"/>
      <c r="C126" s="145"/>
      <c r="D126" s="4" t="s">
        <v>11</v>
      </c>
      <c r="E126" s="5">
        <f t="shared" si="10"/>
        <v>1057561.6000000001</v>
      </c>
      <c r="F126" s="8">
        <v>0</v>
      </c>
      <c r="G126" s="8">
        <f>1057570-8.4</f>
        <v>1057561.6000000001</v>
      </c>
      <c r="H126" s="12">
        <v>0</v>
      </c>
      <c r="I126" s="134"/>
      <c r="J126" s="131"/>
      <c r="K126" s="131"/>
      <c r="L126" s="131"/>
      <c r="M126" s="131"/>
    </row>
    <row r="127" spans="1:13" ht="21" customHeight="1" outlineLevel="1" x14ac:dyDescent="0.25">
      <c r="A127" s="135" t="s">
        <v>123</v>
      </c>
      <c r="B127" s="132" t="s">
        <v>42</v>
      </c>
      <c r="C127" s="145" t="s">
        <v>75</v>
      </c>
      <c r="D127" s="3" t="s">
        <v>6</v>
      </c>
      <c r="E127" s="7">
        <f>SUM(F127:H127)</f>
        <v>1261137.76</v>
      </c>
      <c r="F127" s="7">
        <f>SUM(F128:F129)</f>
        <v>0</v>
      </c>
      <c r="G127" s="7">
        <f>SUM(G128:G129)</f>
        <v>747416.4</v>
      </c>
      <c r="H127" s="57">
        <v>513721.36</v>
      </c>
      <c r="I127" s="132" t="s">
        <v>94</v>
      </c>
      <c r="J127" s="129" t="s">
        <v>9</v>
      </c>
      <c r="K127" s="129" t="s">
        <v>93</v>
      </c>
      <c r="L127" s="129">
        <v>20</v>
      </c>
      <c r="M127" s="129">
        <v>16.600000000000001</v>
      </c>
    </row>
    <row r="128" spans="1:13" ht="21" customHeight="1" outlineLevel="1" x14ac:dyDescent="0.25">
      <c r="A128" s="136"/>
      <c r="B128" s="133"/>
      <c r="C128" s="145"/>
      <c r="D128" s="4" t="s">
        <v>10</v>
      </c>
      <c r="E128" s="5">
        <f t="shared" si="10"/>
        <v>0</v>
      </c>
      <c r="F128" s="8">
        <v>0</v>
      </c>
      <c r="G128" s="8">
        <v>0</v>
      </c>
      <c r="H128" s="12">
        <v>0</v>
      </c>
      <c r="I128" s="133"/>
      <c r="J128" s="130"/>
      <c r="K128" s="130"/>
      <c r="L128" s="130"/>
      <c r="M128" s="130"/>
    </row>
    <row r="129" spans="1:13" ht="21" customHeight="1" outlineLevel="1" x14ac:dyDescent="0.25">
      <c r="A129" s="137"/>
      <c r="B129" s="134"/>
      <c r="C129" s="145"/>
      <c r="D129" s="4" t="s">
        <v>11</v>
      </c>
      <c r="E129" s="5">
        <f t="shared" si="10"/>
        <v>5830252.7600000007</v>
      </c>
      <c r="F129" s="8">
        <v>0</v>
      </c>
      <c r="G129" s="8">
        <f>707220+40196.4</f>
        <v>747416.4</v>
      </c>
      <c r="H129" s="12">
        <f>484756.36+4598080</f>
        <v>5082836.3600000003</v>
      </c>
      <c r="I129" s="134"/>
      <c r="J129" s="131"/>
      <c r="K129" s="131"/>
      <c r="L129" s="131"/>
      <c r="M129" s="131"/>
    </row>
    <row r="130" spans="1:13" ht="21" customHeight="1" outlineLevel="1" x14ac:dyDescent="0.25">
      <c r="A130" s="135" t="s">
        <v>124</v>
      </c>
      <c r="B130" s="132" t="s">
        <v>43</v>
      </c>
      <c r="C130" s="145" t="s">
        <v>75</v>
      </c>
      <c r="D130" s="3" t="s">
        <v>6</v>
      </c>
      <c r="E130" s="7">
        <f>SUM(F130:H130)</f>
        <v>1374452.58</v>
      </c>
      <c r="F130" s="7">
        <f>SUM(F131:F132)</f>
        <v>0</v>
      </c>
      <c r="G130" s="7">
        <f>SUM(G131:G132)</f>
        <v>462792.57999999996</v>
      </c>
      <c r="H130" s="57">
        <f>SUM(H131:H132)</f>
        <v>911660</v>
      </c>
      <c r="I130" s="132" t="s">
        <v>97</v>
      </c>
      <c r="J130" s="129" t="s">
        <v>9</v>
      </c>
      <c r="K130" s="135" t="s">
        <v>99</v>
      </c>
      <c r="L130" s="135" t="s">
        <v>98</v>
      </c>
      <c r="M130" s="129">
        <v>4.2</v>
      </c>
    </row>
    <row r="131" spans="1:13" ht="21" customHeight="1" outlineLevel="1" x14ac:dyDescent="0.25">
      <c r="A131" s="136"/>
      <c r="B131" s="133"/>
      <c r="C131" s="145"/>
      <c r="D131" s="4" t="s">
        <v>10</v>
      </c>
      <c r="E131" s="5">
        <f t="shared" si="10"/>
        <v>0</v>
      </c>
      <c r="F131" s="8">
        <v>0</v>
      </c>
      <c r="G131" s="8">
        <v>0</v>
      </c>
      <c r="H131" s="12">
        <v>0</v>
      </c>
      <c r="I131" s="133"/>
      <c r="J131" s="130"/>
      <c r="K131" s="136"/>
      <c r="L131" s="136"/>
      <c r="M131" s="130"/>
    </row>
    <row r="132" spans="1:13" ht="21" customHeight="1" outlineLevel="1" x14ac:dyDescent="0.25">
      <c r="A132" s="137"/>
      <c r="B132" s="134"/>
      <c r="C132" s="145"/>
      <c r="D132" s="4" t="s">
        <v>11</v>
      </c>
      <c r="E132" s="5">
        <f t="shared" si="10"/>
        <v>1374452.58</v>
      </c>
      <c r="F132" s="8">
        <v>0</v>
      </c>
      <c r="G132" s="8">
        <f>56250+150000+256542.58</f>
        <v>462792.57999999996</v>
      </c>
      <c r="H132" s="8">
        <v>911660</v>
      </c>
      <c r="I132" s="134"/>
      <c r="J132" s="131"/>
      <c r="K132" s="137"/>
      <c r="L132" s="137"/>
      <c r="M132" s="131"/>
    </row>
    <row r="133" spans="1:13" s="6" customFormat="1" ht="13.5" customHeight="1" x14ac:dyDescent="0.2">
      <c r="A133" s="147" t="s">
        <v>74</v>
      </c>
      <c r="B133" s="147"/>
      <c r="C133" s="147"/>
      <c r="D133" s="11" t="s">
        <v>6</v>
      </c>
      <c r="E133" s="7">
        <f t="shared" ref="E133:E138" si="12">SUM(F133:H133)</f>
        <v>51212377</v>
      </c>
      <c r="F133" s="7">
        <f>SUM(F134:F135)</f>
        <v>18846257</v>
      </c>
      <c r="G133" s="7">
        <f>SUM(G134:G135)</f>
        <v>9064430</v>
      </c>
      <c r="H133" s="7">
        <f>SUM(H134:H135)</f>
        <v>23301690</v>
      </c>
      <c r="I133" s="132"/>
      <c r="J133" s="129"/>
      <c r="K133" s="129"/>
      <c r="L133" s="129"/>
      <c r="M133" s="129"/>
    </row>
    <row r="134" spans="1:13" s="6" customFormat="1" ht="13.5" customHeight="1" x14ac:dyDescent="0.2">
      <c r="A134" s="147"/>
      <c r="B134" s="147"/>
      <c r="C134" s="147"/>
      <c r="D134" s="11" t="s">
        <v>10</v>
      </c>
      <c r="E134" s="7">
        <f t="shared" si="12"/>
        <v>1600000</v>
      </c>
      <c r="F134" s="7">
        <f t="shared" ref="F134:H135" si="13">F80</f>
        <v>0</v>
      </c>
      <c r="G134" s="7">
        <f t="shared" si="13"/>
        <v>1600000</v>
      </c>
      <c r="H134" s="7">
        <f t="shared" si="13"/>
        <v>0</v>
      </c>
      <c r="I134" s="133"/>
      <c r="J134" s="130"/>
      <c r="K134" s="130"/>
      <c r="L134" s="130"/>
      <c r="M134" s="130"/>
    </row>
    <row r="135" spans="1:13" s="6" customFormat="1" ht="13.5" customHeight="1" x14ac:dyDescent="0.2">
      <c r="A135" s="147"/>
      <c r="B135" s="147"/>
      <c r="C135" s="147"/>
      <c r="D135" s="11" t="s">
        <v>11</v>
      </c>
      <c r="E135" s="7">
        <f t="shared" si="12"/>
        <v>49612377</v>
      </c>
      <c r="F135" s="7">
        <f t="shared" si="13"/>
        <v>18846257</v>
      </c>
      <c r="G135" s="7">
        <f t="shared" si="13"/>
        <v>7464430</v>
      </c>
      <c r="H135" s="7">
        <f t="shared" si="13"/>
        <v>23301690</v>
      </c>
      <c r="I135" s="134"/>
      <c r="J135" s="131"/>
      <c r="K135" s="131"/>
      <c r="L135" s="131"/>
      <c r="M135" s="131"/>
    </row>
    <row r="136" spans="1:13" s="6" customFormat="1" ht="13.5" customHeight="1" x14ac:dyDescent="0.2">
      <c r="A136" s="148" t="s">
        <v>44</v>
      </c>
      <c r="B136" s="149"/>
      <c r="C136" s="150"/>
      <c r="D136" s="11" t="s">
        <v>6</v>
      </c>
      <c r="E136" s="7">
        <f t="shared" si="12"/>
        <v>68161719</v>
      </c>
      <c r="F136" s="7">
        <f>SUM(F137:F138)</f>
        <v>24923869</v>
      </c>
      <c r="G136" s="7">
        <f>SUM(G137:G138)</f>
        <v>15729760</v>
      </c>
      <c r="H136" s="7">
        <f>SUM(H137:H138)</f>
        <v>27508090</v>
      </c>
      <c r="I136" s="132"/>
      <c r="J136" s="129"/>
      <c r="K136" s="129"/>
      <c r="L136" s="129"/>
      <c r="M136" s="129"/>
    </row>
    <row r="137" spans="1:13" s="6" customFormat="1" ht="13.5" customHeight="1" x14ac:dyDescent="0.2">
      <c r="A137" s="151"/>
      <c r="B137" s="152"/>
      <c r="C137" s="153"/>
      <c r="D137" s="11" t="s">
        <v>10</v>
      </c>
      <c r="E137" s="7">
        <f t="shared" si="12"/>
        <v>3878600</v>
      </c>
      <c r="F137" s="7">
        <f t="shared" ref="F137:H138" si="14">F51+F76+F134</f>
        <v>625000</v>
      </c>
      <c r="G137" s="7">
        <f t="shared" si="14"/>
        <v>3253600</v>
      </c>
      <c r="H137" s="7">
        <f t="shared" si="14"/>
        <v>0</v>
      </c>
      <c r="I137" s="133"/>
      <c r="J137" s="130"/>
      <c r="K137" s="130"/>
      <c r="L137" s="130"/>
      <c r="M137" s="130"/>
    </row>
    <row r="138" spans="1:13" s="6" customFormat="1" ht="13.5" customHeight="1" x14ac:dyDescent="0.2">
      <c r="A138" s="154"/>
      <c r="B138" s="155"/>
      <c r="C138" s="156"/>
      <c r="D138" s="11" t="s">
        <v>11</v>
      </c>
      <c r="E138" s="7">
        <f t="shared" si="12"/>
        <v>64283119</v>
      </c>
      <c r="F138" s="7">
        <f t="shared" si="14"/>
        <v>24298869</v>
      </c>
      <c r="G138" s="7">
        <f t="shared" si="14"/>
        <v>12476160</v>
      </c>
      <c r="H138" s="7">
        <f t="shared" si="14"/>
        <v>27508090</v>
      </c>
      <c r="I138" s="134"/>
      <c r="J138" s="131"/>
      <c r="K138" s="131"/>
      <c r="L138" s="131"/>
      <c r="M138" s="131"/>
    </row>
    <row r="142" spans="1:13" x14ac:dyDescent="0.25">
      <c r="D142" s="17"/>
      <c r="E142" s="17"/>
      <c r="F142" s="17"/>
      <c r="G142" s="17"/>
      <c r="H142" s="17"/>
    </row>
  </sheetData>
  <mergeCells count="322">
    <mergeCell ref="L136:L138"/>
    <mergeCell ref="M136:M138"/>
    <mergeCell ref="A130:A132"/>
    <mergeCell ref="B130:B132"/>
    <mergeCell ref="A136:C138"/>
    <mergeCell ref="I136:I138"/>
    <mergeCell ref="J136:J138"/>
    <mergeCell ref="K136:K138"/>
    <mergeCell ref="A133:C135"/>
    <mergeCell ref="I133:I135"/>
    <mergeCell ref="J133:J135"/>
    <mergeCell ref="K133:K135"/>
    <mergeCell ref="L133:L135"/>
    <mergeCell ref="M133:M135"/>
    <mergeCell ref="C130:C132"/>
    <mergeCell ref="I130:I132"/>
    <mergeCell ref="J130:J132"/>
    <mergeCell ref="K130:K132"/>
    <mergeCell ref="L124:L126"/>
    <mergeCell ref="M124:M126"/>
    <mergeCell ref="L127:L129"/>
    <mergeCell ref="M127:M129"/>
    <mergeCell ref="L130:L132"/>
    <mergeCell ref="M130:M132"/>
    <mergeCell ref="A127:A129"/>
    <mergeCell ref="B127:B129"/>
    <mergeCell ref="C127:C129"/>
    <mergeCell ref="I127:I129"/>
    <mergeCell ref="J127:J129"/>
    <mergeCell ref="K127:K129"/>
    <mergeCell ref="A124:A126"/>
    <mergeCell ref="B124:B126"/>
    <mergeCell ref="C124:C126"/>
    <mergeCell ref="I124:I126"/>
    <mergeCell ref="J124:J126"/>
    <mergeCell ref="K124:K126"/>
    <mergeCell ref="L118:L120"/>
    <mergeCell ref="M118:M120"/>
    <mergeCell ref="A121:A123"/>
    <mergeCell ref="B121:B123"/>
    <mergeCell ref="C121:C123"/>
    <mergeCell ref="I121:I123"/>
    <mergeCell ref="J121:J123"/>
    <mergeCell ref="K121:K123"/>
    <mergeCell ref="L121:L123"/>
    <mergeCell ref="M121:M123"/>
    <mergeCell ref="A118:A120"/>
    <mergeCell ref="B118:B120"/>
    <mergeCell ref="C118:C120"/>
    <mergeCell ref="I118:I120"/>
    <mergeCell ref="J118:J120"/>
    <mergeCell ref="K118:K120"/>
    <mergeCell ref="L112:L114"/>
    <mergeCell ref="M112:M114"/>
    <mergeCell ref="A115:A117"/>
    <mergeCell ref="B115:B117"/>
    <mergeCell ref="C115:C117"/>
    <mergeCell ref="I115:I117"/>
    <mergeCell ref="J115:J117"/>
    <mergeCell ref="K115:K117"/>
    <mergeCell ref="L115:L117"/>
    <mergeCell ref="M115:M117"/>
    <mergeCell ref="A112:A114"/>
    <mergeCell ref="B112:B114"/>
    <mergeCell ref="C112:C114"/>
    <mergeCell ref="I112:I114"/>
    <mergeCell ref="J112:J114"/>
    <mergeCell ref="K112:K114"/>
    <mergeCell ref="L106:L108"/>
    <mergeCell ref="M106:M108"/>
    <mergeCell ref="A109:A111"/>
    <mergeCell ref="B109:B111"/>
    <mergeCell ref="C109:C111"/>
    <mergeCell ref="I109:I111"/>
    <mergeCell ref="J109:J111"/>
    <mergeCell ref="K109:K111"/>
    <mergeCell ref="L109:L111"/>
    <mergeCell ref="M109:M111"/>
    <mergeCell ref="A106:A108"/>
    <mergeCell ref="B106:B108"/>
    <mergeCell ref="C106:C108"/>
    <mergeCell ref="I106:I108"/>
    <mergeCell ref="J106:J108"/>
    <mergeCell ref="K106:K108"/>
    <mergeCell ref="L100:L102"/>
    <mergeCell ref="M100:M102"/>
    <mergeCell ref="A103:A105"/>
    <mergeCell ref="B103:B105"/>
    <mergeCell ref="C103:C105"/>
    <mergeCell ref="I103:I105"/>
    <mergeCell ref="J103:J105"/>
    <mergeCell ref="K103:K105"/>
    <mergeCell ref="L103:L105"/>
    <mergeCell ref="M103:M105"/>
    <mergeCell ref="A100:A102"/>
    <mergeCell ref="B100:B102"/>
    <mergeCell ref="C100:C102"/>
    <mergeCell ref="I100:I102"/>
    <mergeCell ref="J100:J102"/>
    <mergeCell ref="K100:K102"/>
    <mergeCell ref="L94:L96"/>
    <mergeCell ref="M94:M96"/>
    <mergeCell ref="A97:A99"/>
    <mergeCell ref="B97:B99"/>
    <mergeCell ref="C97:C99"/>
    <mergeCell ref="I97:I99"/>
    <mergeCell ref="J97:J99"/>
    <mergeCell ref="K97:K99"/>
    <mergeCell ref="L97:L99"/>
    <mergeCell ref="M97:M99"/>
    <mergeCell ref="A94:A96"/>
    <mergeCell ref="B94:B96"/>
    <mergeCell ref="C94:C96"/>
    <mergeCell ref="I94:I96"/>
    <mergeCell ref="J94:J96"/>
    <mergeCell ref="K94:K96"/>
    <mergeCell ref="L88:L90"/>
    <mergeCell ref="M88:M90"/>
    <mergeCell ref="A91:A93"/>
    <mergeCell ref="B91:B93"/>
    <mergeCell ref="C91:C93"/>
    <mergeCell ref="I91:I93"/>
    <mergeCell ref="J91:J93"/>
    <mergeCell ref="K91:K93"/>
    <mergeCell ref="L91:L93"/>
    <mergeCell ref="M91:M93"/>
    <mergeCell ref="A88:A90"/>
    <mergeCell ref="B88:B90"/>
    <mergeCell ref="C88:C90"/>
    <mergeCell ref="I88:I90"/>
    <mergeCell ref="J88:J90"/>
    <mergeCell ref="K88:K90"/>
    <mergeCell ref="L82:L84"/>
    <mergeCell ref="M82:M84"/>
    <mergeCell ref="A85:A87"/>
    <mergeCell ref="B85:B87"/>
    <mergeCell ref="C85:C87"/>
    <mergeCell ref="I85:I87"/>
    <mergeCell ref="J85:J87"/>
    <mergeCell ref="K85:K87"/>
    <mergeCell ref="L85:L87"/>
    <mergeCell ref="M85:M87"/>
    <mergeCell ref="A82:A84"/>
    <mergeCell ref="B82:B84"/>
    <mergeCell ref="C82:C84"/>
    <mergeCell ref="I82:I84"/>
    <mergeCell ref="J82:J84"/>
    <mergeCell ref="K82:K84"/>
    <mergeCell ref="M75:M77"/>
    <mergeCell ref="A78:L78"/>
    <mergeCell ref="A79:A81"/>
    <mergeCell ref="B79:B81"/>
    <mergeCell ref="C79:C81"/>
    <mergeCell ref="I79:I81"/>
    <mergeCell ref="J79:J81"/>
    <mergeCell ref="K79:K81"/>
    <mergeCell ref="L79:L81"/>
    <mergeCell ref="M79:M81"/>
    <mergeCell ref="L69:L74"/>
    <mergeCell ref="M69:M74"/>
    <mergeCell ref="A72:A74"/>
    <mergeCell ref="B72:B74"/>
    <mergeCell ref="C72:C74"/>
    <mergeCell ref="A75:C77"/>
    <mergeCell ref="I75:I77"/>
    <mergeCell ref="J75:J77"/>
    <mergeCell ref="K75:K77"/>
    <mergeCell ref="L75:L77"/>
    <mergeCell ref="A69:A71"/>
    <mergeCell ref="B69:B71"/>
    <mergeCell ref="C69:C71"/>
    <mergeCell ref="I69:I74"/>
    <mergeCell ref="J69:J74"/>
    <mergeCell ref="K69:K74"/>
    <mergeCell ref="B60:B62"/>
    <mergeCell ref="C60:C62"/>
    <mergeCell ref="A63:A65"/>
    <mergeCell ref="B63:B65"/>
    <mergeCell ref="C63:C65"/>
    <mergeCell ref="A66:A68"/>
    <mergeCell ref="B66:B68"/>
    <mergeCell ref="C66:C68"/>
    <mergeCell ref="M54:M56"/>
    <mergeCell ref="A57:A59"/>
    <mergeCell ref="B57:B59"/>
    <mergeCell ref="C57:C59"/>
    <mergeCell ref="I57:I68"/>
    <mergeCell ref="J57:J68"/>
    <mergeCell ref="K57:K68"/>
    <mergeCell ref="L57:L68"/>
    <mergeCell ref="M57:M68"/>
    <mergeCell ref="A60:A62"/>
    <mergeCell ref="A53:L53"/>
    <mergeCell ref="A54:A56"/>
    <mergeCell ref="B54:B56"/>
    <mergeCell ref="C54:C56"/>
    <mergeCell ref="I54:I56"/>
    <mergeCell ref="J54:J56"/>
    <mergeCell ref="K54:K56"/>
    <mergeCell ref="L54:L56"/>
    <mergeCell ref="A50:C52"/>
    <mergeCell ref="I50:I52"/>
    <mergeCell ref="J50:J52"/>
    <mergeCell ref="K50:K52"/>
    <mergeCell ref="L50:L52"/>
    <mergeCell ref="M50:M52"/>
    <mergeCell ref="L44:L46"/>
    <mergeCell ref="M44:M46"/>
    <mergeCell ref="A47:A49"/>
    <mergeCell ref="B47:B49"/>
    <mergeCell ref="C47:C49"/>
    <mergeCell ref="I47:I49"/>
    <mergeCell ref="J47:J49"/>
    <mergeCell ref="K47:K49"/>
    <mergeCell ref="L47:L49"/>
    <mergeCell ref="M47:M49"/>
    <mergeCell ref="A44:A46"/>
    <mergeCell ref="B44:B46"/>
    <mergeCell ref="C44:C46"/>
    <mergeCell ref="I44:I46"/>
    <mergeCell ref="J44:J46"/>
    <mergeCell ref="K44:K46"/>
    <mergeCell ref="L38:L40"/>
    <mergeCell ref="M38:M40"/>
    <mergeCell ref="A41:A43"/>
    <mergeCell ref="B41:B43"/>
    <mergeCell ref="C41:C43"/>
    <mergeCell ref="I41:I43"/>
    <mergeCell ref="J41:J43"/>
    <mergeCell ref="K41:K43"/>
    <mergeCell ref="L41:L43"/>
    <mergeCell ref="M41:M43"/>
    <mergeCell ref="A38:A40"/>
    <mergeCell ref="B38:B40"/>
    <mergeCell ref="C38:C40"/>
    <mergeCell ref="I38:I40"/>
    <mergeCell ref="J38:J40"/>
    <mergeCell ref="K38:K40"/>
    <mergeCell ref="L32:L34"/>
    <mergeCell ref="M32:M34"/>
    <mergeCell ref="A35:A37"/>
    <mergeCell ref="B35:B37"/>
    <mergeCell ref="C35:C37"/>
    <mergeCell ref="I35:I37"/>
    <mergeCell ref="J35:J37"/>
    <mergeCell ref="K35:K37"/>
    <mergeCell ref="L35:L37"/>
    <mergeCell ref="M35:M37"/>
    <mergeCell ref="A32:A34"/>
    <mergeCell ref="B32:B34"/>
    <mergeCell ref="C32:C34"/>
    <mergeCell ref="I32:I34"/>
    <mergeCell ref="J32:J34"/>
    <mergeCell ref="K32:K34"/>
    <mergeCell ref="L26:L28"/>
    <mergeCell ref="M26:M28"/>
    <mergeCell ref="A29:A31"/>
    <mergeCell ref="B29:B31"/>
    <mergeCell ref="C29:C31"/>
    <mergeCell ref="I29:I31"/>
    <mergeCell ref="J29:J31"/>
    <mergeCell ref="K29:K31"/>
    <mergeCell ref="L29:L31"/>
    <mergeCell ref="M29:M31"/>
    <mergeCell ref="A26:A28"/>
    <mergeCell ref="B26:B28"/>
    <mergeCell ref="C26:C28"/>
    <mergeCell ref="I26:I28"/>
    <mergeCell ref="J26:J28"/>
    <mergeCell ref="K26:K28"/>
    <mergeCell ref="L20:L22"/>
    <mergeCell ref="M20:M22"/>
    <mergeCell ref="A23:A25"/>
    <mergeCell ref="B23:B25"/>
    <mergeCell ref="C23:C25"/>
    <mergeCell ref="I23:I25"/>
    <mergeCell ref="J23:J25"/>
    <mergeCell ref="K23:K25"/>
    <mergeCell ref="L23:L25"/>
    <mergeCell ref="M23:M25"/>
    <mergeCell ref="A20:A22"/>
    <mergeCell ref="B20:B22"/>
    <mergeCell ref="C20:C22"/>
    <mergeCell ref="I20:I22"/>
    <mergeCell ref="J20:J22"/>
    <mergeCell ref="K20:K22"/>
    <mergeCell ref="L14:L16"/>
    <mergeCell ref="M14:M16"/>
    <mergeCell ref="A17:A19"/>
    <mergeCell ref="B17:B19"/>
    <mergeCell ref="C17:C19"/>
    <mergeCell ref="I17:I19"/>
    <mergeCell ref="J17:J19"/>
    <mergeCell ref="K17:K19"/>
    <mergeCell ref="L17:L19"/>
    <mergeCell ref="M17:M19"/>
    <mergeCell ref="A14:A16"/>
    <mergeCell ref="B14:B16"/>
    <mergeCell ref="C14:C16"/>
    <mergeCell ref="I14:I16"/>
    <mergeCell ref="J14:J16"/>
    <mergeCell ref="K14:K16"/>
    <mergeCell ref="A9:M9"/>
    <mergeCell ref="B10:M10"/>
    <mergeCell ref="A11:A13"/>
    <mergeCell ref="B11:B13"/>
    <mergeCell ref="C11:C13"/>
    <mergeCell ref="I11:I13"/>
    <mergeCell ref="J11:J13"/>
    <mergeCell ref="K11:K13"/>
    <mergeCell ref="L11:L13"/>
    <mergeCell ref="M11:M13"/>
    <mergeCell ref="J1:M1"/>
    <mergeCell ref="A3:M3"/>
    <mergeCell ref="A5:A7"/>
    <mergeCell ref="B5:B7"/>
    <mergeCell ref="C5:C7"/>
    <mergeCell ref="D5:D7"/>
    <mergeCell ref="E5:H5"/>
    <mergeCell ref="I5:M6"/>
    <mergeCell ref="E6:E7"/>
    <mergeCell ref="F6:H6"/>
  </mergeCells>
  <pageMargins left="0.98425196850393704" right="0.59055118110236227" top="0.78740157480314965" bottom="0.78740157480314965" header="0.31496062992125984" footer="0.31496062992125984"/>
  <pageSetup paperSize="9" scale="33" orientation="portrait" r:id="rId1"/>
  <headerFooter differentFirst="1">
    <oddHeader>&amp;C&amp;"Times New Roman,обычный"&amp;9&amp;P</oddHeader>
  </headerFooter>
  <rowBreaks count="2" manualBreakCount="2">
    <brk id="78" max="12" man="1"/>
    <brk id="13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outlinePr summaryBelow="0" summaryRight="0"/>
    <pageSetUpPr fitToPage="1"/>
  </sheetPr>
  <dimension ref="B1:IS264"/>
  <sheetViews>
    <sheetView view="pageBreakPreview" zoomScale="70" zoomScaleNormal="70" zoomScaleSheetLayoutView="70" workbookViewId="0">
      <pane ySplit="7" topLeftCell="A8" activePane="bottomLeft" state="frozen"/>
      <selection pane="bottomLeft" activeCell="F9" sqref="F9"/>
    </sheetView>
  </sheetViews>
  <sheetFormatPr defaultRowHeight="15" outlineLevelRow="1" outlineLevelCol="2" x14ac:dyDescent="0.25"/>
  <cols>
    <col min="2" max="2" width="4.140625" style="21" customWidth="1"/>
    <col min="3" max="3" width="46.85546875" style="21" customWidth="1"/>
    <col min="4" max="4" width="16" style="21" customWidth="1"/>
    <col min="5" max="5" width="57" style="69" customWidth="1"/>
    <col min="6" max="7" width="16.7109375" style="21" customWidth="1"/>
    <col min="8" max="8" width="20.140625" style="21" customWidth="1" outlineLevel="1"/>
    <col min="9" max="9" width="14.7109375" style="21" customWidth="1" outlineLevel="1" collapsed="1"/>
    <col min="10" max="11" width="14.7109375" style="21" hidden="1" customWidth="1" outlineLevel="2"/>
    <col min="12" max="12" width="18.28515625" style="21" customWidth="1"/>
    <col min="13" max="13" width="15.85546875" style="21" hidden="1" customWidth="1"/>
    <col min="14" max="14" width="13.85546875" style="21" hidden="1" customWidth="1"/>
    <col min="15" max="15" width="0" style="21" hidden="1" customWidth="1"/>
    <col min="16" max="16" width="12" style="21" hidden="1" customWidth="1"/>
    <col min="17" max="17" width="17.140625" style="21" customWidth="1"/>
    <col min="18" max="18" width="11.5703125" style="21" bestFit="1" customWidth="1"/>
    <col min="19" max="19" width="9.140625" style="21" customWidth="1"/>
    <col min="20" max="20" width="12" style="21" customWidth="1"/>
    <col min="21" max="253" width="9.140625" style="21" customWidth="1"/>
  </cols>
  <sheetData>
    <row r="1" spans="2:253" ht="15.75" x14ac:dyDescent="0.25">
      <c r="B1" s="101" t="s">
        <v>172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253" ht="3.75" customHeight="1" x14ac:dyDescent="0.25"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</row>
    <row r="3" spans="2:253" ht="15" customHeight="1" x14ac:dyDescent="0.25">
      <c r="B3" s="102" t="s">
        <v>0</v>
      </c>
      <c r="C3" s="102" t="s">
        <v>46</v>
      </c>
      <c r="D3" s="102" t="s">
        <v>173</v>
      </c>
      <c r="E3" s="174" t="s">
        <v>174</v>
      </c>
      <c r="F3" s="102" t="s">
        <v>133</v>
      </c>
      <c r="G3" s="102"/>
      <c r="H3" s="102"/>
      <c r="I3" s="102"/>
      <c r="J3" s="102"/>
      <c r="K3" s="102"/>
      <c r="L3" s="102" t="s">
        <v>175</v>
      </c>
    </row>
    <row r="4" spans="2:253" ht="12.75" customHeight="1" x14ac:dyDescent="0.25">
      <c r="B4" s="102"/>
      <c r="C4" s="102"/>
      <c r="D4" s="102"/>
      <c r="E4" s="174"/>
      <c r="F4" s="102" t="s">
        <v>176</v>
      </c>
      <c r="G4" s="103" t="s">
        <v>134</v>
      </c>
      <c r="H4" s="103"/>
      <c r="I4" s="103"/>
      <c r="J4" s="103"/>
      <c r="K4" s="103"/>
      <c r="L4" s="102"/>
    </row>
    <row r="5" spans="2:253" ht="25.5" customHeight="1" x14ac:dyDescent="0.25">
      <c r="B5" s="102"/>
      <c r="C5" s="102"/>
      <c r="D5" s="102"/>
      <c r="E5" s="174"/>
      <c r="F5" s="102"/>
      <c r="G5" s="104" t="s">
        <v>177</v>
      </c>
      <c r="H5" s="103" t="s">
        <v>135</v>
      </c>
      <c r="I5" s="103" t="s">
        <v>178</v>
      </c>
      <c r="J5" s="103"/>
      <c r="K5" s="103"/>
      <c r="L5" s="10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2:253" ht="51" customHeight="1" x14ac:dyDescent="0.25">
      <c r="B6" s="102"/>
      <c r="C6" s="102"/>
      <c r="D6" s="102"/>
      <c r="E6" s="174"/>
      <c r="F6" s="102"/>
      <c r="G6" s="104"/>
      <c r="H6" s="103"/>
      <c r="I6" s="62" t="s">
        <v>136</v>
      </c>
      <c r="J6" s="33" t="s">
        <v>137</v>
      </c>
      <c r="K6" s="33" t="s">
        <v>179</v>
      </c>
      <c r="L6" s="10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2:253" x14ac:dyDescent="0.25">
      <c r="B7" s="46">
        <v>1</v>
      </c>
      <c r="C7" s="46">
        <v>2</v>
      </c>
      <c r="D7" s="46">
        <v>3</v>
      </c>
      <c r="E7" s="65">
        <v>4</v>
      </c>
      <c r="F7" s="46">
        <v>5</v>
      </c>
      <c r="G7" s="47" t="s">
        <v>138</v>
      </c>
      <c r="H7" s="23">
        <v>7</v>
      </c>
      <c r="I7" s="23" t="s">
        <v>180</v>
      </c>
      <c r="J7" s="23">
        <v>9</v>
      </c>
      <c r="K7" s="23">
        <v>10</v>
      </c>
      <c r="L7" s="46" t="s">
        <v>181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</row>
    <row r="8" spans="2:253" s="48" customFormat="1" ht="12.75" x14ac:dyDescent="0.2">
      <c r="B8" s="105" t="s">
        <v>187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2:253" s="48" customFormat="1" ht="30" customHeight="1" outlineLevel="1" x14ac:dyDescent="0.2">
      <c r="B9" s="59"/>
      <c r="C9" s="50" t="s">
        <v>61</v>
      </c>
      <c r="D9" s="49" t="s">
        <v>193</v>
      </c>
      <c r="E9" s="70" t="s">
        <v>61</v>
      </c>
      <c r="F9" s="35">
        <f>800000+183600+11000</f>
        <v>994600</v>
      </c>
      <c r="G9" s="36">
        <f t="shared" ref="G9:G16" si="0">SUM(H9:I9)</f>
        <v>0</v>
      </c>
      <c r="H9" s="37"/>
      <c r="I9" s="37">
        <f t="shared" ref="I9:I17" si="1">SUM(J9:K9)</f>
        <v>0</v>
      </c>
      <c r="J9" s="38"/>
      <c r="K9" s="25"/>
      <c r="L9" s="26">
        <f t="shared" ref="L9:L17" si="2">SUM(F9:G9)</f>
        <v>994600</v>
      </c>
      <c r="M9" s="22"/>
      <c r="N9" s="22"/>
      <c r="O9" s="22"/>
      <c r="P9" s="22"/>
      <c r="Q9" s="78">
        <f>L9</f>
        <v>994600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2:253" s="48" customFormat="1" ht="30" customHeight="1" outlineLevel="1" x14ac:dyDescent="0.2">
      <c r="B10" s="108"/>
      <c r="C10" s="171" t="s">
        <v>17</v>
      </c>
      <c r="D10" s="49" t="s">
        <v>192</v>
      </c>
      <c r="E10" s="66" t="s">
        <v>188</v>
      </c>
      <c r="F10" s="35">
        <v>285000</v>
      </c>
      <c r="G10" s="36">
        <f t="shared" si="0"/>
        <v>0</v>
      </c>
      <c r="H10" s="37"/>
      <c r="I10" s="37">
        <f t="shared" si="1"/>
        <v>0</v>
      </c>
      <c r="J10" s="38"/>
      <c r="K10" s="25"/>
      <c r="L10" s="26">
        <f t="shared" si="2"/>
        <v>285000</v>
      </c>
      <c r="M10" s="22"/>
      <c r="N10" s="22"/>
      <c r="O10" s="22"/>
      <c r="P10" s="22"/>
      <c r="Q10" s="175">
        <f>L10+L11+L12+L13</f>
        <v>1020410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2:253" s="48" customFormat="1" ht="12.75" outlineLevel="1" x14ac:dyDescent="0.2">
      <c r="B11" s="109"/>
      <c r="C11" s="172"/>
      <c r="D11" s="49" t="s">
        <v>169</v>
      </c>
      <c r="E11" s="66" t="s">
        <v>189</v>
      </c>
      <c r="F11" s="35">
        <v>315990</v>
      </c>
      <c r="G11" s="36">
        <f t="shared" si="0"/>
        <v>0</v>
      </c>
      <c r="H11" s="37"/>
      <c r="I11" s="37">
        <f t="shared" si="1"/>
        <v>0</v>
      </c>
      <c r="J11" s="38"/>
      <c r="K11" s="25"/>
      <c r="L11" s="26">
        <f t="shared" si="2"/>
        <v>315990</v>
      </c>
      <c r="M11" s="22"/>
      <c r="N11" s="22"/>
      <c r="O11" s="22"/>
      <c r="P11" s="22"/>
      <c r="Q11" s="17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2:253" s="48" customFormat="1" ht="30" customHeight="1" outlineLevel="1" x14ac:dyDescent="0.2">
      <c r="B12" s="109"/>
      <c r="C12" s="172"/>
      <c r="D12" s="49" t="s">
        <v>194</v>
      </c>
      <c r="E12" s="66" t="s">
        <v>51</v>
      </c>
      <c r="F12" s="35">
        <v>200000</v>
      </c>
      <c r="G12" s="36">
        <f t="shared" si="0"/>
        <v>0</v>
      </c>
      <c r="H12" s="37"/>
      <c r="I12" s="37">
        <f>SUM(J12:K12)</f>
        <v>0</v>
      </c>
      <c r="J12" s="38"/>
      <c r="K12" s="25"/>
      <c r="L12" s="26">
        <f t="shared" si="2"/>
        <v>200000</v>
      </c>
      <c r="M12" s="22"/>
      <c r="N12" s="22"/>
      <c r="O12" s="22"/>
      <c r="P12" s="22"/>
      <c r="Q12" s="17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2:253" s="48" customFormat="1" ht="33.75" customHeight="1" outlineLevel="1" x14ac:dyDescent="0.2">
      <c r="B13" s="110"/>
      <c r="C13" s="173"/>
      <c r="D13" s="49" t="s">
        <v>227</v>
      </c>
      <c r="E13" s="70" t="s">
        <v>43</v>
      </c>
      <c r="F13" s="35">
        <v>219420</v>
      </c>
      <c r="G13" s="36">
        <f t="shared" si="0"/>
        <v>0</v>
      </c>
      <c r="H13" s="37"/>
      <c r="I13" s="37">
        <f>SUM(J13:K13)</f>
        <v>0</v>
      </c>
      <c r="J13" s="38"/>
      <c r="K13" s="25"/>
      <c r="L13" s="26">
        <f t="shared" si="2"/>
        <v>219420</v>
      </c>
      <c r="M13" s="22"/>
      <c r="N13" s="22"/>
      <c r="O13" s="22"/>
      <c r="P13" s="22"/>
      <c r="Q13" s="17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2:253" s="48" customFormat="1" ht="25.5" outlineLevel="1" x14ac:dyDescent="0.2">
      <c r="B14" s="108"/>
      <c r="C14" s="111" t="s">
        <v>21</v>
      </c>
      <c r="D14" s="49" t="s">
        <v>156</v>
      </c>
      <c r="E14" s="66" t="s">
        <v>190</v>
      </c>
      <c r="F14" s="35">
        <v>60000</v>
      </c>
      <c r="G14" s="36">
        <f t="shared" si="0"/>
        <v>0</v>
      </c>
      <c r="H14" s="37"/>
      <c r="I14" s="37">
        <f t="shared" si="1"/>
        <v>0</v>
      </c>
      <c r="J14" s="38"/>
      <c r="K14" s="25"/>
      <c r="L14" s="26">
        <f t="shared" si="2"/>
        <v>60000</v>
      </c>
      <c r="M14" s="22"/>
      <c r="N14" s="22"/>
      <c r="O14" s="22"/>
      <c r="P14" s="22"/>
      <c r="Q14" s="175">
        <f>L14+L15+L16</f>
        <v>360000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2:253" s="48" customFormat="1" ht="88.5" customHeight="1" outlineLevel="1" x14ac:dyDescent="0.2">
      <c r="B15" s="109"/>
      <c r="C15" s="112"/>
      <c r="D15" s="49" t="s">
        <v>156</v>
      </c>
      <c r="E15" s="66" t="s">
        <v>220</v>
      </c>
      <c r="F15" s="35">
        <v>60000</v>
      </c>
      <c r="G15" s="36">
        <f>SUM(H15:I15)</f>
        <v>0</v>
      </c>
      <c r="H15" s="37"/>
      <c r="I15" s="37">
        <f>SUM(J15:K15)</f>
        <v>0</v>
      </c>
      <c r="J15" s="38"/>
      <c r="K15" s="25"/>
      <c r="L15" s="26">
        <f>SUM(F15:G15)</f>
        <v>60000</v>
      </c>
      <c r="M15" s="22"/>
      <c r="N15" s="22"/>
      <c r="O15" s="22"/>
      <c r="P15" s="22"/>
      <c r="Q15" s="10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2:253" s="48" customFormat="1" ht="38.25" outlineLevel="1" x14ac:dyDescent="0.2">
      <c r="B16" s="110"/>
      <c r="C16" s="113"/>
      <c r="D16" s="49" t="s">
        <v>158</v>
      </c>
      <c r="E16" s="66" t="s">
        <v>191</v>
      </c>
      <c r="F16" s="35">
        <v>240000</v>
      </c>
      <c r="G16" s="36">
        <f t="shared" si="0"/>
        <v>0</v>
      </c>
      <c r="H16" s="37"/>
      <c r="I16" s="37">
        <f t="shared" si="1"/>
        <v>0</v>
      </c>
      <c r="J16" s="38"/>
      <c r="K16" s="25"/>
      <c r="L16" s="26">
        <f>SUM(F16:G16)</f>
        <v>240000</v>
      </c>
      <c r="M16" s="22"/>
      <c r="N16" s="22"/>
      <c r="O16" s="22"/>
      <c r="P16" s="22"/>
      <c r="Q16" s="10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2:253" s="48" customFormat="1" ht="64.5" customHeight="1" outlineLevel="1" x14ac:dyDescent="0.2">
      <c r="B17" s="61"/>
      <c r="C17" s="60" t="s">
        <v>22</v>
      </c>
      <c r="D17" s="49" t="s">
        <v>229</v>
      </c>
      <c r="E17" s="70"/>
      <c r="F17" s="35">
        <v>400000</v>
      </c>
      <c r="G17" s="36">
        <f>SUM(H17:I17)</f>
        <v>0</v>
      </c>
      <c r="H17" s="37">
        <v>0</v>
      </c>
      <c r="I17" s="37">
        <f t="shared" si="1"/>
        <v>0</v>
      </c>
      <c r="J17" s="38"/>
      <c r="K17" s="25"/>
      <c r="L17" s="26">
        <f t="shared" si="2"/>
        <v>400000</v>
      </c>
      <c r="M17" s="22"/>
      <c r="N17" s="22"/>
      <c r="O17" s="22"/>
      <c r="P17" s="22"/>
      <c r="Q17" s="78">
        <f>L17</f>
        <v>400000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2:253" s="48" customFormat="1" ht="12.75" x14ac:dyDescent="0.2">
      <c r="B18" s="107" t="s">
        <v>195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26">
        <f>SUM(L9:L17)</f>
        <v>2775010</v>
      </c>
      <c r="M18" s="22"/>
      <c r="N18" s="22"/>
      <c r="O18" s="22"/>
      <c r="P18" s="22"/>
      <c r="Q18" s="5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2:253" s="48" customFormat="1" ht="12.75" x14ac:dyDescent="0.2">
      <c r="B19" s="105" t="s">
        <v>64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2:253" s="48" customFormat="1" ht="33" customHeight="1" outlineLevel="1" x14ac:dyDescent="0.2">
      <c r="B20" s="108"/>
      <c r="C20" s="168" t="s">
        <v>25</v>
      </c>
      <c r="D20" s="49" t="s">
        <v>154</v>
      </c>
      <c r="E20" s="66" t="s">
        <v>197</v>
      </c>
      <c r="F20" s="35"/>
      <c r="G20" s="36">
        <f>SUM(H20:I20)</f>
        <v>1488450</v>
      </c>
      <c r="H20" s="37">
        <f>1488448.79+1.21</f>
        <v>1488450</v>
      </c>
      <c r="I20" s="37">
        <f>SUM(J20:K20)</f>
        <v>0</v>
      </c>
      <c r="J20" s="38"/>
      <c r="K20" s="25"/>
      <c r="L20" s="26">
        <f>SUM(F20:G20)</f>
        <v>1488450</v>
      </c>
      <c r="M20" s="22"/>
      <c r="N20" s="22"/>
      <c r="O20" s="22"/>
      <c r="P20" s="22"/>
      <c r="Q20" s="176">
        <f>L20+L21+L22+L23</f>
        <v>2286250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2:253" s="48" customFormat="1" ht="53.25" customHeight="1" outlineLevel="1" x14ac:dyDescent="0.2">
      <c r="B21" s="109"/>
      <c r="C21" s="169"/>
      <c r="D21" s="49" t="s">
        <v>142</v>
      </c>
      <c r="E21" s="66" t="s">
        <v>144</v>
      </c>
      <c r="F21" s="35"/>
      <c r="G21" s="36">
        <f>SUM(H21:I21)</f>
        <v>106200</v>
      </c>
      <c r="H21" s="37">
        <v>106200</v>
      </c>
      <c r="I21" s="37">
        <f>SUM(J21:K21)</f>
        <v>0</v>
      </c>
      <c r="J21" s="38"/>
      <c r="K21" s="25"/>
      <c r="L21" s="26">
        <f>SUM(F21:G21)</f>
        <v>106200</v>
      </c>
      <c r="M21" s="22"/>
      <c r="N21" s="22"/>
      <c r="O21" s="22"/>
      <c r="P21" s="22"/>
      <c r="Q21" s="177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2:253" s="48" customFormat="1" ht="32.25" customHeight="1" outlineLevel="1" x14ac:dyDescent="0.2">
      <c r="B22" s="109"/>
      <c r="C22" s="169"/>
      <c r="D22" s="49" t="s">
        <v>145</v>
      </c>
      <c r="E22" s="66" t="s">
        <v>147</v>
      </c>
      <c r="F22" s="35"/>
      <c r="G22" s="36">
        <f>SUM(H22:I22)</f>
        <v>159160</v>
      </c>
      <c r="H22" s="37"/>
      <c r="I22" s="37">
        <f>SUM(J22:K22)</f>
        <v>159160</v>
      </c>
      <c r="J22" s="38">
        <v>159160</v>
      </c>
      <c r="K22" s="25"/>
      <c r="L22" s="26">
        <f>SUM(F22:G22)</f>
        <v>159160</v>
      </c>
      <c r="M22" s="22"/>
      <c r="N22" s="22"/>
      <c r="O22" s="22"/>
      <c r="P22" s="22"/>
      <c r="Q22" s="177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2:253" s="48" customFormat="1" ht="60.75" customHeight="1" outlineLevel="1" x14ac:dyDescent="0.2">
      <c r="B23" s="110"/>
      <c r="C23" s="170"/>
      <c r="D23" s="49" t="s">
        <v>145</v>
      </c>
      <c r="E23" s="70" t="s">
        <v>228</v>
      </c>
      <c r="F23" s="35"/>
      <c r="G23" s="36">
        <f>SUM(H23:I23)</f>
        <v>532440</v>
      </c>
      <c r="H23" s="37">
        <v>532440</v>
      </c>
      <c r="I23" s="37">
        <f>SUM(J23:K23)</f>
        <v>0</v>
      </c>
      <c r="J23" s="38"/>
      <c r="K23" s="25"/>
      <c r="L23" s="76">
        <f>SUM(F23:G23)</f>
        <v>532440</v>
      </c>
      <c r="M23" s="22"/>
      <c r="N23" s="22"/>
      <c r="O23" s="22"/>
      <c r="P23" s="22"/>
      <c r="Q23" s="177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2:253" s="48" customFormat="1" ht="70.5" customHeight="1" outlineLevel="1" x14ac:dyDescent="0.2">
      <c r="B24" s="59"/>
      <c r="C24" s="50" t="s">
        <v>30</v>
      </c>
      <c r="D24" s="49" t="s">
        <v>139</v>
      </c>
      <c r="E24" s="66" t="s">
        <v>196</v>
      </c>
      <c r="F24" s="35">
        <v>308000</v>
      </c>
      <c r="G24" s="36">
        <f>SUM(H24:I24)</f>
        <v>0</v>
      </c>
      <c r="H24" s="37">
        <v>0</v>
      </c>
      <c r="I24" s="37">
        <f>SUM(J24:K24)</f>
        <v>0</v>
      </c>
      <c r="J24" s="38"/>
      <c r="K24" s="25"/>
      <c r="L24" s="26">
        <f>SUM(F24:G24)</f>
        <v>308000</v>
      </c>
      <c r="M24" s="22"/>
      <c r="N24" s="22"/>
      <c r="O24" s="22"/>
      <c r="P24" s="22"/>
      <c r="Q24" s="54">
        <f>L24</f>
        <v>308000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2:253" s="48" customFormat="1" ht="12.75" x14ac:dyDescent="0.2">
      <c r="B25" s="107" t="s">
        <v>198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26">
        <f>SUM(L20:L24)</f>
        <v>2594250</v>
      </c>
      <c r="M25" s="22"/>
      <c r="N25" s="22"/>
      <c r="O25" s="22"/>
      <c r="P25" s="22"/>
      <c r="Q25" s="5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2:253" s="48" customFormat="1" ht="12.75" x14ac:dyDescent="0.2">
      <c r="B26" s="105" t="s">
        <v>182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2:253" s="48" customFormat="1" ht="25.5" customHeight="1" outlineLevel="1" x14ac:dyDescent="0.2">
      <c r="B27" s="108"/>
      <c r="C27" s="111" t="s">
        <v>67</v>
      </c>
      <c r="D27" s="49" t="s">
        <v>139</v>
      </c>
      <c r="E27" s="66" t="s">
        <v>140</v>
      </c>
      <c r="F27" s="35"/>
      <c r="G27" s="36">
        <f t="shared" ref="G27:G56" si="3">SUM(H27:I27)</f>
        <v>111999</v>
      </c>
      <c r="H27" s="37"/>
      <c r="I27" s="37">
        <f>SUM(J27:K27)</f>
        <v>111999</v>
      </c>
      <c r="J27" s="38">
        <v>111999</v>
      </c>
      <c r="K27" s="25"/>
      <c r="L27" s="26">
        <f>SUM(F27:G27)+1</f>
        <v>112000</v>
      </c>
      <c r="M27" s="22"/>
      <c r="N27" s="22"/>
      <c r="O27" s="22"/>
      <c r="P27" s="22"/>
      <c r="Q27" s="175">
        <f>L27+L28+L29+L30+L31+L32+L33+L34+L35+L36+L37+L38+L39</f>
        <v>3707658.92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2:253" s="48" customFormat="1" ht="25.5" outlineLevel="1" x14ac:dyDescent="0.2">
      <c r="B28" s="109"/>
      <c r="C28" s="112"/>
      <c r="D28" s="49" t="s">
        <v>141</v>
      </c>
      <c r="E28" s="66" t="s">
        <v>140</v>
      </c>
      <c r="F28" s="35"/>
      <c r="G28" s="36">
        <f t="shared" si="3"/>
        <v>376413</v>
      </c>
      <c r="H28" s="37"/>
      <c r="I28" s="37">
        <f t="shared" ref="I28:I97" si="4">SUM(J28:K28)</f>
        <v>376413</v>
      </c>
      <c r="J28" s="38">
        <v>376413</v>
      </c>
      <c r="K28" s="25"/>
      <c r="L28" s="26">
        <f t="shared" ref="L28:L97" si="5">SUM(F28:G28)</f>
        <v>376413</v>
      </c>
      <c r="M28" s="22"/>
      <c r="N28" s="22"/>
      <c r="O28" s="22"/>
      <c r="P28" s="22"/>
      <c r="Q28" s="10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2:253" s="48" customFormat="1" ht="25.5" outlineLevel="1" x14ac:dyDescent="0.2">
      <c r="B29" s="109"/>
      <c r="C29" s="112"/>
      <c r="D29" s="49" t="s">
        <v>150</v>
      </c>
      <c r="E29" s="66" t="s">
        <v>140</v>
      </c>
      <c r="F29" s="35"/>
      <c r="G29" s="36">
        <f t="shared" si="3"/>
        <v>317008</v>
      </c>
      <c r="H29" s="37"/>
      <c r="I29" s="37">
        <f t="shared" si="4"/>
        <v>317008</v>
      </c>
      <c r="J29" s="38">
        <v>317008</v>
      </c>
      <c r="K29" s="25"/>
      <c r="L29" s="26">
        <f t="shared" si="5"/>
        <v>317008</v>
      </c>
      <c r="M29" s="22"/>
      <c r="N29" s="22"/>
      <c r="O29" s="22"/>
      <c r="P29" s="22"/>
      <c r="Q29" s="10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2:253" s="48" customFormat="1" ht="25.5" outlineLevel="1" x14ac:dyDescent="0.2">
      <c r="B30" s="109"/>
      <c r="C30" s="112"/>
      <c r="D30" s="49" t="s">
        <v>234</v>
      </c>
      <c r="E30" s="70" t="s">
        <v>140</v>
      </c>
      <c r="F30" s="35"/>
      <c r="G30" s="36">
        <f t="shared" si="3"/>
        <v>330000</v>
      </c>
      <c r="H30" s="37"/>
      <c r="I30" s="37">
        <f t="shared" si="4"/>
        <v>330000</v>
      </c>
      <c r="J30" s="38">
        <v>330000</v>
      </c>
      <c r="K30" s="25"/>
      <c r="L30" s="73">
        <f t="shared" si="5"/>
        <v>330000</v>
      </c>
      <c r="M30" s="22"/>
      <c r="N30" s="22"/>
      <c r="O30" s="22"/>
      <c r="P30" s="22"/>
      <c r="Q30" s="10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2:253" s="48" customFormat="1" ht="25.5" outlineLevel="1" x14ac:dyDescent="0.2">
      <c r="B31" s="109"/>
      <c r="C31" s="112"/>
      <c r="D31" s="49" t="s">
        <v>156</v>
      </c>
      <c r="E31" s="66" t="s">
        <v>140</v>
      </c>
      <c r="F31" s="35"/>
      <c r="G31" s="36">
        <f t="shared" si="3"/>
        <v>249528</v>
      </c>
      <c r="H31" s="37"/>
      <c r="I31" s="37">
        <f t="shared" si="4"/>
        <v>249528</v>
      </c>
      <c r="J31" s="38">
        <v>249528</v>
      </c>
      <c r="K31" s="25"/>
      <c r="L31" s="26">
        <f t="shared" si="5"/>
        <v>249528</v>
      </c>
      <c r="M31" s="22"/>
      <c r="N31" s="22"/>
      <c r="O31" s="22"/>
      <c r="P31" s="22"/>
      <c r="Q31" s="10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2:253" s="48" customFormat="1" ht="25.5" outlineLevel="1" x14ac:dyDescent="0.2">
      <c r="B32" s="109"/>
      <c r="C32" s="112"/>
      <c r="D32" s="49" t="s">
        <v>164</v>
      </c>
      <c r="E32" s="66" t="s">
        <v>140</v>
      </c>
      <c r="F32" s="35"/>
      <c r="G32" s="36">
        <f t="shared" si="3"/>
        <v>78313</v>
      </c>
      <c r="H32" s="37"/>
      <c r="I32" s="37">
        <f t="shared" si="4"/>
        <v>78313</v>
      </c>
      <c r="J32" s="38">
        <v>78313</v>
      </c>
      <c r="K32" s="25"/>
      <c r="L32" s="26">
        <f t="shared" si="5"/>
        <v>78313</v>
      </c>
      <c r="M32" s="22"/>
      <c r="N32" s="22"/>
      <c r="O32" s="22"/>
      <c r="P32" s="22"/>
      <c r="Q32" s="10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2:253" s="48" customFormat="1" ht="25.5" outlineLevel="1" x14ac:dyDescent="0.2">
      <c r="B33" s="109"/>
      <c r="C33" s="112"/>
      <c r="D33" s="49" t="s">
        <v>164</v>
      </c>
      <c r="E33" s="66" t="s">
        <v>140</v>
      </c>
      <c r="F33" s="35"/>
      <c r="G33" s="36">
        <f t="shared" si="3"/>
        <v>25686</v>
      </c>
      <c r="H33" s="37"/>
      <c r="I33" s="37">
        <f t="shared" si="4"/>
        <v>25686</v>
      </c>
      <c r="J33" s="38">
        <v>25686</v>
      </c>
      <c r="K33" s="25"/>
      <c r="L33" s="26">
        <f t="shared" si="5"/>
        <v>25686</v>
      </c>
      <c r="M33" s="22"/>
      <c r="N33" s="22"/>
      <c r="O33" s="22"/>
      <c r="P33" s="22"/>
      <c r="Q33" s="10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2:253" s="48" customFormat="1" ht="25.5" outlineLevel="1" x14ac:dyDescent="0.2">
      <c r="B34" s="109"/>
      <c r="C34" s="112"/>
      <c r="D34" s="49" t="s">
        <v>229</v>
      </c>
      <c r="E34" s="70" t="s">
        <v>140</v>
      </c>
      <c r="F34" s="35">
        <v>300000</v>
      </c>
      <c r="G34" s="36">
        <f t="shared" si="3"/>
        <v>0</v>
      </c>
      <c r="H34" s="37"/>
      <c r="I34" s="37">
        <f t="shared" si="4"/>
        <v>0</v>
      </c>
      <c r="J34" s="38"/>
      <c r="K34" s="25"/>
      <c r="L34" s="26">
        <f t="shared" si="5"/>
        <v>300000</v>
      </c>
      <c r="M34" s="22"/>
      <c r="N34" s="22"/>
      <c r="O34" s="22"/>
      <c r="P34" s="22"/>
      <c r="Q34" s="10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2:253" s="48" customFormat="1" ht="25.5" outlineLevel="1" x14ac:dyDescent="0.2">
      <c r="B35" s="109"/>
      <c r="C35" s="112"/>
      <c r="D35" s="49" t="s">
        <v>167</v>
      </c>
      <c r="E35" s="66" t="s">
        <v>168</v>
      </c>
      <c r="F35" s="35"/>
      <c r="G35" s="36">
        <f t="shared" si="3"/>
        <v>160410.92000000001</v>
      </c>
      <c r="H35" s="37">
        <v>160410.92000000001</v>
      </c>
      <c r="I35" s="37">
        <f t="shared" si="4"/>
        <v>0</v>
      </c>
      <c r="J35" s="41"/>
      <c r="K35" s="43"/>
      <c r="L35" s="26">
        <f>SUM(F35:G35)</f>
        <v>160410.92000000001</v>
      </c>
      <c r="M35" s="22"/>
      <c r="N35" s="22"/>
      <c r="O35" s="22"/>
      <c r="P35" s="22"/>
      <c r="Q35" s="10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2:253" s="48" customFormat="1" ht="12.75" outlineLevel="1" x14ac:dyDescent="0.2">
      <c r="B36" s="109"/>
      <c r="C36" s="112"/>
      <c r="D36" s="49" t="s">
        <v>164</v>
      </c>
      <c r="E36" s="66" t="s">
        <v>166</v>
      </c>
      <c r="F36" s="35"/>
      <c r="G36" s="36">
        <f t="shared" si="3"/>
        <v>72780</v>
      </c>
      <c r="H36" s="37"/>
      <c r="I36" s="37">
        <f t="shared" si="4"/>
        <v>72780</v>
      </c>
      <c r="J36" s="38">
        <v>72780</v>
      </c>
      <c r="K36" s="25"/>
      <c r="L36" s="26">
        <f t="shared" si="5"/>
        <v>72780</v>
      </c>
      <c r="M36" s="22"/>
      <c r="N36" s="22"/>
      <c r="O36" s="22"/>
      <c r="P36" s="22"/>
      <c r="Q36" s="10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2:253" s="48" customFormat="1" ht="51" outlineLevel="1" x14ac:dyDescent="0.2">
      <c r="B37" s="109"/>
      <c r="C37" s="112"/>
      <c r="D37" s="49" t="s">
        <v>215</v>
      </c>
      <c r="E37" s="70" t="s">
        <v>211</v>
      </c>
      <c r="F37" s="35"/>
      <c r="G37" s="36">
        <f>SUM(H37:I37)</f>
        <v>491890</v>
      </c>
      <c r="H37" s="37">
        <f>1024330-532440</f>
        <v>491890</v>
      </c>
      <c r="I37" s="37">
        <f t="shared" si="4"/>
        <v>0</v>
      </c>
      <c r="J37" s="38"/>
      <c r="K37" s="25"/>
      <c r="L37" s="26">
        <f t="shared" si="5"/>
        <v>491890</v>
      </c>
      <c r="M37" s="22"/>
      <c r="N37" s="22"/>
      <c r="O37" s="22"/>
      <c r="P37" s="22"/>
      <c r="Q37" s="102"/>
      <c r="R37" s="22"/>
      <c r="S37" s="72" t="s">
        <v>246</v>
      </c>
      <c r="T37" s="77">
        <v>532441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2:253" s="48" customFormat="1" ht="25.5" outlineLevel="1" x14ac:dyDescent="0.2">
      <c r="B38" s="109"/>
      <c r="C38" s="112"/>
      <c r="D38" s="49" t="s">
        <v>167</v>
      </c>
      <c r="E38" s="66" t="s">
        <v>209</v>
      </c>
      <c r="F38" s="35">
        <v>45630</v>
      </c>
      <c r="G38" s="36">
        <f>SUM(H38:I38)</f>
        <v>0</v>
      </c>
      <c r="H38" s="37"/>
      <c r="I38" s="37">
        <f>SUM(J38:K38)</f>
        <v>0</v>
      </c>
      <c r="J38" s="38"/>
      <c r="K38" s="25"/>
      <c r="L38" s="26">
        <f>SUM(F38:G38)</f>
        <v>45630</v>
      </c>
      <c r="M38" s="22"/>
      <c r="N38" s="22"/>
      <c r="O38" s="22"/>
      <c r="P38" s="22"/>
      <c r="Q38" s="10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2:253" s="48" customFormat="1" ht="25.5" outlineLevel="1" x14ac:dyDescent="0.2">
      <c r="B39" s="110"/>
      <c r="C39" s="113"/>
      <c r="D39" s="49"/>
      <c r="E39" s="66" t="s">
        <v>219</v>
      </c>
      <c r="F39" s="35"/>
      <c r="G39" s="36">
        <f t="shared" si="3"/>
        <v>1148000</v>
      </c>
      <c r="H39" s="37"/>
      <c r="I39" s="37">
        <f t="shared" si="4"/>
        <v>1148000</v>
      </c>
      <c r="J39" s="38">
        <v>1148000</v>
      </c>
      <c r="K39" s="25"/>
      <c r="L39" s="26">
        <f t="shared" si="5"/>
        <v>1148000</v>
      </c>
      <c r="M39" s="22"/>
      <c r="N39" s="22"/>
      <c r="O39" s="22"/>
      <c r="P39" s="22"/>
      <c r="Q39" s="10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2:253" s="48" customFormat="1" ht="25.5" outlineLevel="1" x14ac:dyDescent="0.2">
      <c r="B40" s="59"/>
      <c r="C40" s="50" t="s">
        <v>68</v>
      </c>
      <c r="D40" s="49"/>
      <c r="E40" s="67" t="s">
        <v>186</v>
      </c>
      <c r="F40" s="35"/>
      <c r="G40" s="36">
        <f t="shared" si="3"/>
        <v>0</v>
      </c>
      <c r="H40" s="37"/>
      <c r="I40" s="37">
        <f t="shared" si="4"/>
        <v>0</v>
      </c>
      <c r="J40" s="38"/>
      <c r="K40" s="25"/>
      <c r="L40" s="26">
        <f t="shared" si="5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2:253" s="48" customFormat="1" ht="27.75" customHeight="1" outlineLevel="1" x14ac:dyDescent="0.2">
      <c r="B41" s="108"/>
      <c r="C41" s="168" t="s">
        <v>33</v>
      </c>
      <c r="D41" s="49" t="s">
        <v>158</v>
      </c>
      <c r="E41" s="66" t="s">
        <v>163</v>
      </c>
      <c r="F41" s="35"/>
      <c r="G41" s="36">
        <f t="shared" si="3"/>
        <v>98728</v>
      </c>
      <c r="H41" s="37"/>
      <c r="I41" s="37">
        <f t="shared" si="4"/>
        <v>98728</v>
      </c>
      <c r="J41" s="38">
        <v>98728</v>
      </c>
      <c r="K41" s="43"/>
      <c r="L41" s="26">
        <f t="shared" si="5"/>
        <v>98728</v>
      </c>
      <c r="M41" s="22"/>
      <c r="N41" s="22"/>
      <c r="O41" s="22"/>
      <c r="P41" s="22"/>
      <c r="Q41" s="176">
        <f>L41+L42+L43</f>
        <v>551798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2:253" s="48" customFormat="1" ht="38.25" outlineLevel="1" x14ac:dyDescent="0.2">
      <c r="B42" s="109"/>
      <c r="C42" s="169"/>
      <c r="D42" s="49" t="s">
        <v>158</v>
      </c>
      <c r="E42" s="66" t="s">
        <v>205</v>
      </c>
      <c r="F42" s="35">
        <v>303070</v>
      </c>
      <c r="G42" s="36">
        <f t="shared" si="3"/>
        <v>0</v>
      </c>
      <c r="H42" s="37"/>
      <c r="I42" s="37">
        <f t="shared" si="4"/>
        <v>0</v>
      </c>
      <c r="J42" s="38"/>
      <c r="K42" s="43"/>
      <c r="L42" s="26">
        <f t="shared" si="5"/>
        <v>303070</v>
      </c>
      <c r="M42" s="22"/>
      <c r="N42" s="22"/>
      <c r="O42" s="22"/>
      <c r="P42" s="22"/>
      <c r="Q42" s="177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2:253" s="48" customFormat="1" ht="25.5" outlineLevel="1" x14ac:dyDescent="0.2">
      <c r="B43" s="110"/>
      <c r="C43" s="170"/>
      <c r="D43" s="49" t="s">
        <v>167</v>
      </c>
      <c r="E43" s="70" t="s">
        <v>241</v>
      </c>
      <c r="F43" s="35">
        <v>150000</v>
      </c>
      <c r="G43" s="36">
        <f t="shared" si="3"/>
        <v>0</v>
      </c>
      <c r="H43" s="37"/>
      <c r="I43" s="37">
        <f t="shared" si="4"/>
        <v>0</v>
      </c>
      <c r="J43" s="38"/>
      <c r="K43" s="43"/>
      <c r="L43" s="76">
        <f t="shared" si="5"/>
        <v>150000</v>
      </c>
      <c r="M43" s="22"/>
      <c r="N43" s="22"/>
      <c r="O43" s="22"/>
      <c r="P43" s="22"/>
      <c r="Q43" s="177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2:253" s="48" customFormat="1" ht="38.25" outlineLevel="1" x14ac:dyDescent="0.2">
      <c r="B44" s="59"/>
      <c r="C44" s="50" t="s">
        <v>34</v>
      </c>
      <c r="D44" s="49" t="s">
        <v>158</v>
      </c>
      <c r="E44" s="66" t="s">
        <v>160</v>
      </c>
      <c r="F44" s="35"/>
      <c r="G44" s="36">
        <f t="shared" si="3"/>
        <v>144530</v>
      </c>
      <c r="H44" s="37"/>
      <c r="I44" s="37">
        <f t="shared" si="4"/>
        <v>144530</v>
      </c>
      <c r="J44" s="38">
        <v>144530</v>
      </c>
      <c r="K44" s="25"/>
      <c r="L44" s="26">
        <f t="shared" si="5"/>
        <v>144530</v>
      </c>
      <c r="M44" s="22"/>
      <c r="N44" s="22"/>
      <c r="O44" s="22"/>
      <c r="P44" s="22"/>
      <c r="Q44" s="54">
        <f>L44</f>
        <v>144530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2:253" s="48" customFormat="1" ht="12.75" customHeight="1" outlineLevel="1" x14ac:dyDescent="0.2">
      <c r="B45" s="108"/>
      <c r="C45" s="171" t="s">
        <v>35</v>
      </c>
      <c r="D45" s="49" t="s">
        <v>156</v>
      </c>
      <c r="E45" s="68" t="s">
        <v>157</v>
      </c>
      <c r="F45" s="39"/>
      <c r="G45" s="36">
        <f t="shared" si="3"/>
        <v>1430173</v>
      </c>
      <c r="H45" s="40">
        <v>1430173</v>
      </c>
      <c r="I45" s="37">
        <f t="shared" si="4"/>
        <v>0</v>
      </c>
      <c r="J45" s="41"/>
      <c r="K45" s="42"/>
      <c r="L45" s="26">
        <f>SUM(F45:G45)+4.83</f>
        <v>1430177.83</v>
      </c>
      <c r="M45" s="22"/>
      <c r="N45" s="22"/>
      <c r="O45" s="22"/>
      <c r="P45" s="22"/>
      <c r="Q45" s="176">
        <f>L45+L46+L47+L48+L49+L51+L52+L53+L54+L55+L56+L57+L58+L59+L60+L61+L62+L63+L64+L65+L66+L67+L68+L50</f>
        <v>11131942.32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2:253" s="48" customFormat="1" ht="12.75" outlineLevel="1" x14ac:dyDescent="0.2">
      <c r="B46" s="109"/>
      <c r="C46" s="172"/>
      <c r="D46" s="49" t="s">
        <v>142</v>
      </c>
      <c r="E46" s="66" t="s">
        <v>143</v>
      </c>
      <c r="F46" s="35"/>
      <c r="G46" s="36">
        <f t="shared" si="3"/>
        <v>240652.41</v>
      </c>
      <c r="H46" s="37">
        <v>240652.41</v>
      </c>
      <c r="I46" s="37">
        <f t="shared" si="4"/>
        <v>0</v>
      </c>
      <c r="J46" s="41"/>
      <c r="K46" s="25"/>
      <c r="L46" s="26">
        <f t="shared" si="5"/>
        <v>240652.41</v>
      </c>
      <c r="M46" s="22"/>
      <c r="N46" s="22"/>
      <c r="O46" s="22"/>
      <c r="P46" s="22"/>
      <c r="Q46" s="176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2:253" s="48" customFormat="1" ht="38.25" outlineLevel="1" x14ac:dyDescent="0.2">
      <c r="B47" s="109"/>
      <c r="C47" s="172"/>
      <c r="D47" s="49" t="s">
        <v>158</v>
      </c>
      <c r="E47" s="66" t="s">
        <v>161</v>
      </c>
      <c r="F47" s="35"/>
      <c r="G47" s="36">
        <f t="shared" si="3"/>
        <v>74966</v>
      </c>
      <c r="H47" s="37"/>
      <c r="I47" s="37">
        <f t="shared" si="4"/>
        <v>74966</v>
      </c>
      <c r="J47" s="38">
        <v>74966</v>
      </c>
      <c r="K47" s="25"/>
      <c r="L47" s="26">
        <f t="shared" si="5"/>
        <v>74966</v>
      </c>
      <c r="M47" s="22"/>
      <c r="N47" s="22"/>
      <c r="O47" s="22"/>
      <c r="P47" s="22"/>
      <c r="Q47" s="176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2:253" s="48" customFormat="1" ht="28.5" customHeight="1" outlineLevel="1" x14ac:dyDescent="0.2">
      <c r="B48" s="109"/>
      <c r="C48" s="172"/>
      <c r="D48" s="49" t="s">
        <v>244</v>
      </c>
      <c r="E48" s="70" t="s">
        <v>245</v>
      </c>
      <c r="F48" s="35">
        <v>192000</v>
      </c>
      <c r="G48" s="36">
        <f t="shared" si="3"/>
        <v>0</v>
      </c>
      <c r="H48" s="37"/>
      <c r="I48" s="37">
        <f t="shared" si="4"/>
        <v>0</v>
      </c>
      <c r="J48" s="38"/>
      <c r="K48" s="25"/>
      <c r="L48" s="76">
        <f t="shared" si="5"/>
        <v>192000</v>
      </c>
      <c r="M48" s="22"/>
      <c r="N48" s="22"/>
      <c r="O48" s="22"/>
      <c r="P48" s="22"/>
      <c r="Q48" s="176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2:253" s="48" customFormat="1" ht="38.25" outlineLevel="1" x14ac:dyDescent="0.2">
      <c r="B49" s="109"/>
      <c r="C49" s="172"/>
      <c r="D49" s="49" t="s">
        <v>158</v>
      </c>
      <c r="E49" s="66" t="s">
        <v>162</v>
      </c>
      <c r="F49" s="35"/>
      <c r="G49" s="36">
        <f t="shared" si="3"/>
        <v>155942.07999999999</v>
      </c>
      <c r="H49" s="37">
        <v>155942.07999999999</v>
      </c>
      <c r="I49" s="37">
        <f t="shared" si="4"/>
        <v>0</v>
      </c>
      <c r="J49" s="41"/>
      <c r="K49" s="43"/>
      <c r="L49" s="26">
        <f t="shared" si="5"/>
        <v>155942.07999999999</v>
      </c>
      <c r="M49" s="22"/>
      <c r="N49" s="22"/>
      <c r="O49" s="22"/>
      <c r="P49" s="22"/>
      <c r="Q49" s="176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2:253" s="48" customFormat="1" ht="12.75" outlineLevel="1" x14ac:dyDescent="0.2">
      <c r="B50" s="109"/>
      <c r="C50" s="172"/>
      <c r="D50" s="49" t="s">
        <v>158</v>
      </c>
      <c r="E50" s="66" t="s">
        <v>183</v>
      </c>
      <c r="F50" s="35">
        <v>67735</v>
      </c>
      <c r="G50" s="36">
        <f t="shared" si="3"/>
        <v>0</v>
      </c>
      <c r="H50" s="37"/>
      <c r="I50" s="37">
        <f>SUM(J50:K50)</f>
        <v>0</v>
      </c>
      <c r="J50" s="41"/>
      <c r="K50" s="42"/>
      <c r="L50" s="26">
        <f>SUM(F50:G50)</f>
        <v>67735</v>
      </c>
      <c r="M50" s="91"/>
      <c r="N50" s="91"/>
      <c r="O50" s="91"/>
      <c r="P50" s="91"/>
      <c r="Q50" s="176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</row>
    <row r="51" spans="2:253" s="48" customFormat="1" ht="38.25" outlineLevel="1" x14ac:dyDescent="0.2">
      <c r="B51" s="109"/>
      <c r="C51" s="172"/>
      <c r="D51" s="49" t="s">
        <v>154</v>
      </c>
      <c r="E51" s="66" t="s">
        <v>155</v>
      </c>
      <c r="F51" s="35"/>
      <c r="G51" s="36">
        <f t="shared" si="3"/>
        <v>509585</v>
      </c>
      <c r="H51" s="37"/>
      <c r="I51" s="37">
        <f t="shared" si="4"/>
        <v>509585</v>
      </c>
      <c r="J51" s="38">
        <v>509585</v>
      </c>
      <c r="K51" s="25"/>
      <c r="L51" s="26">
        <f t="shared" si="5"/>
        <v>509585</v>
      </c>
      <c r="M51" s="22"/>
      <c r="N51" s="22"/>
      <c r="O51" s="22"/>
      <c r="P51" s="22"/>
      <c r="Q51" s="176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2:253" s="48" customFormat="1" ht="25.5" outlineLevel="1" x14ac:dyDescent="0.2">
      <c r="B52" s="109"/>
      <c r="C52" s="172"/>
      <c r="D52" s="49" t="s">
        <v>169</v>
      </c>
      <c r="E52" s="70" t="s">
        <v>170</v>
      </c>
      <c r="F52" s="35"/>
      <c r="G52" s="36">
        <f t="shared" si="3"/>
        <v>693967.64</v>
      </c>
      <c r="H52" s="75">
        <f>1029567.64-335600</f>
        <v>693967.64</v>
      </c>
      <c r="I52" s="37">
        <f t="shared" si="4"/>
        <v>0</v>
      </c>
      <c r="J52" s="38"/>
      <c r="K52" s="43"/>
      <c r="L52" s="26">
        <f t="shared" si="5"/>
        <v>693967.64</v>
      </c>
      <c r="M52" s="167" t="s">
        <v>240</v>
      </c>
      <c r="N52" s="71">
        <f>G52+G53</f>
        <v>1431164</v>
      </c>
      <c r="O52" s="22">
        <v>1431027</v>
      </c>
      <c r="P52" s="71">
        <f>N52-O52</f>
        <v>137</v>
      </c>
      <c r="Q52" s="176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2:253" s="48" customFormat="1" ht="38.25" outlineLevel="1" x14ac:dyDescent="0.2">
      <c r="B53" s="109"/>
      <c r="C53" s="172"/>
      <c r="D53" s="49" t="s">
        <v>169</v>
      </c>
      <c r="E53" s="70" t="s">
        <v>171</v>
      </c>
      <c r="F53" s="35"/>
      <c r="G53" s="36">
        <f t="shared" si="3"/>
        <v>737196.36</v>
      </c>
      <c r="H53" s="75">
        <f>737196.36</f>
        <v>737196.36</v>
      </c>
      <c r="I53" s="37">
        <f t="shared" si="4"/>
        <v>0</v>
      </c>
      <c r="J53" s="38"/>
      <c r="K53" s="43"/>
      <c r="L53" s="26">
        <f t="shared" si="5"/>
        <v>737196.36</v>
      </c>
      <c r="M53" s="167"/>
      <c r="N53" s="22"/>
      <c r="O53" s="22"/>
      <c r="P53" s="22"/>
      <c r="Q53" s="176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2:253" s="48" customFormat="1" ht="38.25" outlineLevel="1" x14ac:dyDescent="0.2">
      <c r="B54" s="109"/>
      <c r="C54" s="172"/>
      <c r="D54" s="49" t="s">
        <v>169</v>
      </c>
      <c r="E54" s="70" t="s">
        <v>238</v>
      </c>
      <c r="F54" s="35"/>
      <c r="G54" s="74">
        <f t="shared" si="3"/>
        <v>120610</v>
      </c>
      <c r="H54" s="37"/>
      <c r="I54" s="37">
        <f t="shared" si="4"/>
        <v>120610</v>
      </c>
      <c r="J54" s="38">
        <v>120610</v>
      </c>
      <c r="K54" s="43"/>
      <c r="L54" s="26">
        <f t="shared" si="5"/>
        <v>120610</v>
      </c>
      <c r="M54" s="22"/>
      <c r="N54" s="22"/>
      <c r="O54" s="22"/>
      <c r="P54" s="22"/>
      <c r="Q54" s="176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2:253" s="48" customFormat="1" ht="25.5" outlineLevel="1" x14ac:dyDescent="0.2">
      <c r="B55" s="109"/>
      <c r="C55" s="172"/>
      <c r="D55" s="49" t="s">
        <v>169</v>
      </c>
      <c r="E55" s="70" t="s">
        <v>239</v>
      </c>
      <c r="F55" s="35"/>
      <c r="G55" s="74">
        <f t="shared" si="3"/>
        <v>214990</v>
      </c>
      <c r="H55" s="37"/>
      <c r="I55" s="37">
        <f t="shared" si="4"/>
        <v>214990</v>
      </c>
      <c r="J55" s="38">
        <v>214990</v>
      </c>
      <c r="K55" s="43"/>
      <c r="L55" s="26">
        <f t="shared" si="5"/>
        <v>214990</v>
      </c>
      <c r="M55" s="22"/>
      <c r="N55" s="22"/>
      <c r="O55" s="22"/>
      <c r="P55" s="22"/>
      <c r="Q55" s="176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2:253" s="48" customFormat="1" ht="12.75" outlineLevel="1" x14ac:dyDescent="0.2">
      <c r="B56" s="109"/>
      <c r="C56" s="172"/>
      <c r="D56" s="49" t="s">
        <v>210</v>
      </c>
      <c r="E56" s="66" t="s">
        <v>203</v>
      </c>
      <c r="F56" s="35">
        <v>102000</v>
      </c>
      <c r="G56" s="36">
        <f t="shared" si="3"/>
        <v>0</v>
      </c>
      <c r="H56" s="37"/>
      <c r="I56" s="37">
        <f t="shared" si="4"/>
        <v>0</v>
      </c>
      <c r="J56" s="38"/>
      <c r="K56" s="43"/>
      <c r="L56" s="26">
        <f t="shared" si="5"/>
        <v>102000</v>
      </c>
      <c r="M56" s="22"/>
      <c r="N56" s="22"/>
      <c r="O56" s="22"/>
      <c r="P56" s="22"/>
      <c r="Q56" s="176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2:253" s="48" customFormat="1" ht="25.5" outlineLevel="1" x14ac:dyDescent="0.2">
      <c r="B57" s="109"/>
      <c r="C57" s="172"/>
      <c r="D57" s="49" t="s">
        <v>167</v>
      </c>
      <c r="E57" s="66" t="s">
        <v>208</v>
      </c>
      <c r="F57" s="35">
        <v>48400</v>
      </c>
      <c r="G57" s="36">
        <f>SUM(H57:I57)</f>
        <v>0</v>
      </c>
      <c r="H57" s="37"/>
      <c r="I57" s="37">
        <f t="shared" si="4"/>
        <v>0</v>
      </c>
      <c r="J57" s="38"/>
      <c r="K57" s="43"/>
      <c r="L57" s="26">
        <f t="shared" si="5"/>
        <v>48400</v>
      </c>
      <c r="M57" s="22"/>
      <c r="N57" s="22"/>
      <c r="O57" s="22"/>
      <c r="P57" s="22"/>
      <c r="Q57" s="176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2:253" s="48" customFormat="1" ht="25.5" outlineLevel="1" x14ac:dyDescent="0.2">
      <c r="B58" s="109"/>
      <c r="C58" s="172"/>
      <c r="D58" s="49" t="s">
        <v>214</v>
      </c>
      <c r="E58" s="66" t="s">
        <v>212</v>
      </c>
      <c r="F58" s="35"/>
      <c r="G58" s="36">
        <f t="shared" ref="G58:G97" si="6">SUM(H58:I58)</f>
        <v>74590</v>
      </c>
      <c r="H58" s="38">
        <v>74590</v>
      </c>
      <c r="I58" s="37">
        <f t="shared" si="4"/>
        <v>0</v>
      </c>
      <c r="J58" s="38"/>
      <c r="K58" s="43"/>
      <c r="L58" s="26">
        <f t="shared" si="5"/>
        <v>74590</v>
      </c>
      <c r="M58" s="22"/>
      <c r="N58" s="22"/>
      <c r="O58" s="22"/>
      <c r="P58" s="22"/>
      <c r="Q58" s="176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2:253" s="48" customFormat="1" ht="25.5" outlineLevel="1" x14ac:dyDescent="0.2">
      <c r="B59" s="109"/>
      <c r="C59" s="172"/>
      <c r="D59" s="49" t="s">
        <v>167</v>
      </c>
      <c r="E59" s="66" t="s">
        <v>213</v>
      </c>
      <c r="F59" s="35"/>
      <c r="G59" s="36">
        <f t="shared" si="6"/>
        <v>132000</v>
      </c>
      <c r="H59" s="37"/>
      <c r="I59" s="37">
        <f t="shared" si="4"/>
        <v>132000</v>
      </c>
      <c r="J59" s="38">
        <v>132000</v>
      </c>
      <c r="K59" s="43"/>
      <c r="L59" s="26">
        <f t="shared" si="5"/>
        <v>132000</v>
      </c>
      <c r="M59" s="22"/>
      <c r="N59" s="22"/>
      <c r="O59" s="22"/>
      <c r="P59" s="22"/>
      <c r="Q59" s="17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2:253" s="48" customFormat="1" ht="25.5" outlineLevel="1" x14ac:dyDescent="0.2">
      <c r="B60" s="109"/>
      <c r="C60" s="172"/>
      <c r="D60" s="49"/>
      <c r="E60" s="66" t="s">
        <v>223</v>
      </c>
      <c r="F60" s="35">
        <v>288790</v>
      </c>
      <c r="G60" s="36">
        <f t="shared" si="6"/>
        <v>0</v>
      </c>
      <c r="H60" s="37"/>
      <c r="I60" s="37">
        <f t="shared" si="4"/>
        <v>0</v>
      </c>
      <c r="J60" s="38"/>
      <c r="K60" s="43"/>
      <c r="L60" s="26">
        <f t="shared" si="5"/>
        <v>288790</v>
      </c>
      <c r="M60" s="22"/>
      <c r="N60" s="22"/>
      <c r="O60" s="22"/>
      <c r="P60" s="22"/>
      <c r="Q60" s="17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2:253" s="48" customFormat="1" ht="38.25" outlineLevel="1" x14ac:dyDescent="0.2">
      <c r="B61" s="109"/>
      <c r="C61" s="172"/>
      <c r="D61" s="49"/>
      <c r="E61" s="66" t="s">
        <v>224</v>
      </c>
      <c r="F61" s="35">
        <v>30000</v>
      </c>
      <c r="G61" s="36">
        <f t="shared" si="6"/>
        <v>0</v>
      </c>
      <c r="H61" s="37"/>
      <c r="I61" s="37">
        <f t="shared" si="4"/>
        <v>0</v>
      </c>
      <c r="J61" s="38"/>
      <c r="K61" s="43"/>
      <c r="L61" s="26">
        <f t="shared" si="5"/>
        <v>30000</v>
      </c>
      <c r="M61" s="22"/>
      <c r="N61" s="22"/>
      <c r="O61" s="22"/>
      <c r="P61" s="22"/>
      <c r="Q61" s="17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2:253" s="48" customFormat="1" ht="12.75" outlineLevel="1" x14ac:dyDescent="0.2">
      <c r="B62" s="109"/>
      <c r="C62" s="172"/>
      <c r="D62" s="49"/>
      <c r="E62" s="66" t="s">
        <v>226</v>
      </c>
      <c r="F62" s="35">
        <v>3098320</v>
      </c>
      <c r="G62" s="36">
        <f t="shared" si="6"/>
        <v>0</v>
      </c>
      <c r="H62" s="37"/>
      <c r="I62" s="37">
        <f t="shared" si="4"/>
        <v>0</v>
      </c>
      <c r="J62" s="38"/>
      <c r="K62" s="43"/>
      <c r="L62" s="26">
        <f t="shared" si="5"/>
        <v>3098320</v>
      </c>
      <c r="M62" s="22"/>
      <c r="N62" s="22"/>
      <c r="O62" s="22"/>
      <c r="P62" s="22"/>
      <c r="Q62" s="17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2:253" s="48" customFormat="1" ht="12.75" outlineLevel="1" x14ac:dyDescent="0.2">
      <c r="B63" s="109"/>
      <c r="C63" s="172"/>
      <c r="D63" s="49"/>
      <c r="E63" s="66" t="s">
        <v>216</v>
      </c>
      <c r="F63" s="35"/>
      <c r="G63" s="36">
        <f t="shared" si="6"/>
        <v>19110</v>
      </c>
      <c r="H63" s="37">
        <v>19110</v>
      </c>
      <c r="I63" s="37">
        <f t="shared" si="4"/>
        <v>0</v>
      </c>
      <c r="J63" s="38"/>
      <c r="K63" s="43"/>
      <c r="L63" s="26">
        <f t="shared" si="5"/>
        <v>19110</v>
      </c>
      <c r="M63" s="22"/>
      <c r="N63" s="22"/>
      <c r="O63" s="22"/>
      <c r="P63" s="22"/>
      <c r="Q63" s="17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2:253" s="48" customFormat="1" ht="12.75" outlineLevel="1" x14ac:dyDescent="0.2">
      <c r="B64" s="109"/>
      <c r="C64" s="172"/>
      <c r="D64" s="49"/>
      <c r="E64" s="66" t="s">
        <v>217</v>
      </c>
      <c r="F64" s="35"/>
      <c r="G64" s="36">
        <f t="shared" si="6"/>
        <v>418320</v>
      </c>
      <c r="H64" s="37">
        <v>418320</v>
      </c>
      <c r="I64" s="37">
        <f t="shared" si="4"/>
        <v>0</v>
      </c>
      <c r="J64" s="38"/>
      <c r="K64" s="43"/>
      <c r="L64" s="26">
        <f t="shared" si="5"/>
        <v>418320</v>
      </c>
      <c r="M64" s="22"/>
      <c r="N64" s="22"/>
      <c r="O64" s="22"/>
      <c r="P64" s="22"/>
      <c r="Q64" s="176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2:253" s="48" customFormat="1" ht="12.75" outlineLevel="1" x14ac:dyDescent="0.2">
      <c r="B65" s="109"/>
      <c r="C65" s="172"/>
      <c r="D65" s="49"/>
      <c r="E65" s="66" t="s">
        <v>218</v>
      </c>
      <c r="F65" s="35"/>
      <c r="G65" s="36">
        <f t="shared" si="6"/>
        <v>497800</v>
      </c>
      <c r="H65" s="37">
        <v>497800</v>
      </c>
      <c r="I65" s="37">
        <f t="shared" si="4"/>
        <v>0</v>
      </c>
      <c r="J65" s="38"/>
      <c r="K65" s="43"/>
      <c r="L65" s="26">
        <f t="shared" si="5"/>
        <v>497800</v>
      </c>
      <c r="M65" s="22"/>
      <c r="N65" s="22"/>
      <c r="O65" s="22"/>
      <c r="P65" s="22"/>
      <c r="Q65" s="176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2:253" s="48" customFormat="1" ht="12.75" outlineLevel="1" x14ac:dyDescent="0.2">
      <c r="B66" s="109"/>
      <c r="C66" s="172"/>
      <c r="D66" s="49" t="s">
        <v>148</v>
      </c>
      <c r="E66" s="70" t="s">
        <v>236</v>
      </c>
      <c r="F66" s="35"/>
      <c r="G66" s="36">
        <f t="shared" si="6"/>
        <v>780850</v>
      </c>
      <c r="H66" s="37"/>
      <c r="I66" s="37">
        <f t="shared" si="4"/>
        <v>780850</v>
      </c>
      <c r="J66" s="38">
        <v>780850</v>
      </c>
      <c r="K66" s="43"/>
      <c r="L66" s="73">
        <f t="shared" si="5"/>
        <v>780850</v>
      </c>
      <c r="M66" s="22"/>
      <c r="N66" s="22"/>
      <c r="O66" s="22"/>
      <c r="P66" s="22"/>
      <c r="Q66" s="176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2:253" s="48" customFormat="1" ht="12.75" outlineLevel="1" x14ac:dyDescent="0.2">
      <c r="B67" s="109"/>
      <c r="C67" s="172"/>
      <c r="D67" s="49" t="s">
        <v>237</v>
      </c>
      <c r="E67" s="70" t="s">
        <v>235</v>
      </c>
      <c r="F67" s="35"/>
      <c r="G67" s="36">
        <f t="shared" si="6"/>
        <v>107120</v>
      </c>
      <c r="H67" s="37"/>
      <c r="I67" s="37">
        <f t="shared" si="4"/>
        <v>107120</v>
      </c>
      <c r="J67" s="38">
        <v>107120</v>
      </c>
      <c r="K67" s="43"/>
      <c r="L67" s="73">
        <f t="shared" si="5"/>
        <v>107120</v>
      </c>
      <c r="M67" s="22"/>
      <c r="N67" s="22"/>
      <c r="O67" s="22"/>
      <c r="P67" s="22"/>
      <c r="Q67" s="176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2:253" s="48" customFormat="1" ht="25.5" outlineLevel="1" x14ac:dyDescent="0.2">
      <c r="B68" s="110"/>
      <c r="C68" s="173"/>
      <c r="D68" s="49" t="s">
        <v>169</v>
      </c>
      <c r="E68" s="70" t="s">
        <v>247</v>
      </c>
      <c r="F68" s="35">
        <v>1096820</v>
      </c>
      <c r="G68" s="36">
        <f t="shared" si="6"/>
        <v>0</v>
      </c>
      <c r="H68" s="37"/>
      <c r="I68" s="37">
        <f t="shared" si="4"/>
        <v>0</v>
      </c>
      <c r="J68" s="38"/>
      <c r="K68" s="43"/>
      <c r="L68" s="26">
        <f t="shared" si="5"/>
        <v>1096820</v>
      </c>
      <c r="M68" s="22"/>
      <c r="N68" s="22"/>
      <c r="O68" s="22"/>
      <c r="P68" s="22"/>
      <c r="Q68" s="176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2:253" s="48" customFormat="1" ht="12.75" outlineLevel="1" x14ac:dyDescent="0.2">
      <c r="B69" s="59"/>
      <c r="C69" s="50" t="s">
        <v>36</v>
      </c>
      <c r="D69" s="49"/>
      <c r="E69" s="67" t="s">
        <v>186</v>
      </c>
      <c r="F69" s="35"/>
      <c r="G69" s="36">
        <f t="shared" si="6"/>
        <v>0</v>
      </c>
      <c r="H69" s="37"/>
      <c r="I69" s="37">
        <f t="shared" si="4"/>
        <v>0</v>
      </c>
      <c r="J69" s="38"/>
      <c r="K69" s="25"/>
      <c r="L69" s="26">
        <f t="shared" si="5"/>
        <v>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2:253" s="48" customFormat="1" ht="25.5" customHeight="1" outlineLevel="1" x14ac:dyDescent="0.2">
      <c r="B70" s="59"/>
      <c r="C70" s="111" t="s">
        <v>37</v>
      </c>
      <c r="D70" s="49" t="s">
        <v>151</v>
      </c>
      <c r="E70" s="68" t="s">
        <v>153</v>
      </c>
      <c r="F70" s="39"/>
      <c r="G70" s="36">
        <f t="shared" si="6"/>
        <v>93257</v>
      </c>
      <c r="H70" s="40"/>
      <c r="I70" s="37">
        <f t="shared" si="4"/>
        <v>93257</v>
      </c>
      <c r="J70" s="41">
        <v>93257</v>
      </c>
      <c r="K70" s="25"/>
      <c r="L70" s="26">
        <f t="shared" si="5"/>
        <v>93257</v>
      </c>
      <c r="M70" s="22"/>
      <c r="N70" s="22"/>
      <c r="O70" s="22"/>
      <c r="P70" s="22"/>
      <c r="Q70" s="176">
        <f>L70+L71</f>
        <v>122227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2:253" s="48" customFormat="1" ht="25.5" outlineLevel="1" x14ac:dyDescent="0.2">
      <c r="B71" s="59"/>
      <c r="C71" s="113"/>
      <c r="D71" s="49" t="s">
        <v>145</v>
      </c>
      <c r="E71" s="68" t="s">
        <v>202</v>
      </c>
      <c r="F71" s="39">
        <v>28970</v>
      </c>
      <c r="G71" s="36">
        <f t="shared" si="6"/>
        <v>0</v>
      </c>
      <c r="H71" s="40"/>
      <c r="I71" s="37">
        <f t="shared" si="4"/>
        <v>0</v>
      </c>
      <c r="J71" s="41"/>
      <c r="K71" s="25"/>
      <c r="L71" s="26">
        <f t="shared" si="5"/>
        <v>28970</v>
      </c>
      <c r="M71" s="22"/>
      <c r="N71" s="22"/>
      <c r="O71" s="22"/>
      <c r="P71" s="22"/>
      <c r="Q71" s="17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2:253" s="48" customFormat="1" ht="25.5" outlineLevel="1" x14ac:dyDescent="0.2">
      <c r="B72" s="59"/>
      <c r="C72" s="50" t="s">
        <v>38</v>
      </c>
      <c r="D72" s="49"/>
      <c r="E72" s="67" t="s">
        <v>186</v>
      </c>
      <c r="F72" s="35"/>
      <c r="G72" s="36">
        <f t="shared" si="6"/>
        <v>0</v>
      </c>
      <c r="H72" s="37"/>
      <c r="I72" s="37">
        <f t="shared" si="4"/>
        <v>0</v>
      </c>
      <c r="J72" s="38"/>
      <c r="K72" s="25"/>
      <c r="L72" s="26">
        <f t="shared" si="5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2:253" s="48" customFormat="1" ht="25.5" outlineLevel="1" x14ac:dyDescent="0.2">
      <c r="B73" s="108"/>
      <c r="C73" s="168" t="s">
        <v>69</v>
      </c>
      <c r="D73" s="49" t="s">
        <v>158</v>
      </c>
      <c r="E73" s="66" t="s">
        <v>225</v>
      </c>
      <c r="F73" s="35">
        <v>52570</v>
      </c>
      <c r="G73" s="36">
        <f t="shared" si="6"/>
        <v>0</v>
      </c>
      <c r="H73" s="37"/>
      <c r="I73" s="37">
        <f t="shared" si="4"/>
        <v>0</v>
      </c>
      <c r="J73" s="38"/>
      <c r="K73" s="25"/>
      <c r="L73" s="26">
        <f t="shared" si="5"/>
        <v>52570</v>
      </c>
      <c r="M73" s="22"/>
      <c r="N73" s="22"/>
      <c r="O73" s="22"/>
      <c r="P73" s="22"/>
      <c r="Q73" s="176">
        <f>L73+L74</f>
        <v>403720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2:253" s="48" customFormat="1" ht="12.75" outlineLevel="1" x14ac:dyDescent="0.2">
      <c r="B74" s="110"/>
      <c r="C74" s="170"/>
      <c r="D74" s="49" t="s">
        <v>158</v>
      </c>
      <c r="E74" s="70" t="s">
        <v>232</v>
      </c>
      <c r="F74" s="35">
        <v>351150</v>
      </c>
      <c r="G74" s="36">
        <f t="shared" si="6"/>
        <v>0</v>
      </c>
      <c r="H74" s="37"/>
      <c r="I74" s="37">
        <f t="shared" si="4"/>
        <v>0</v>
      </c>
      <c r="J74" s="38"/>
      <c r="K74" s="25"/>
      <c r="L74" s="76">
        <f t="shared" si="5"/>
        <v>351150</v>
      </c>
      <c r="M74" s="22"/>
      <c r="N74" s="22"/>
      <c r="O74" s="22"/>
      <c r="P74" s="22"/>
      <c r="Q74" s="177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2:253" s="48" customFormat="1" ht="12.75" outlineLevel="1" x14ac:dyDescent="0.2">
      <c r="B75" s="59"/>
      <c r="C75" s="50" t="s">
        <v>39</v>
      </c>
      <c r="D75" s="49"/>
      <c r="E75" s="67" t="s">
        <v>186</v>
      </c>
      <c r="F75" s="35"/>
      <c r="G75" s="36">
        <f t="shared" si="6"/>
        <v>0</v>
      </c>
      <c r="H75" s="37"/>
      <c r="I75" s="37">
        <f t="shared" si="4"/>
        <v>0</v>
      </c>
      <c r="J75" s="38"/>
      <c r="K75" s="25"/>
      <c r="L75" s="26">
        <f t="shared" si="5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2:253" s="48" customFormat="1" ht="25.5" outlineLevel="1" x14ac:dyDescent="0.2">
      <c r="B76" s="59"/>
      <c r="C76" s="50" t="s">
        <v>40</v>
      </c>
      <c r="D76" s="49" t="s">
        <v>151</v>
      </c>
      <c r="E76" s="66" t="s">
        <v>152</v>
      </c>
      <c r="F76" s="35"/>
      <c r="G76" s="36">
        <f t="shared" si="6"/>
        <v>384902</v>
      </c>
      <c r="H76" s="37"/>
      <c r="I76" s="37">
        <f t="shared" si="4"/>
        <v>384902</v>
      </c>
      <c r="J76" s="38">
        <v>384902</v>
      </c>
      <c r="K76" s="25"/>
      <c r="L76" s="26">
        <f t="shared" si="5"/>
        <v>384902</v>
      </c>
      <c r="M76" s="22"/>
      <c r="N76" s="22"/>
      <c r="O76" s="22"/>
      <c r="P76" s="22"/>
      <c r="Q76" s="54">
        <f>L76</f>
        <v>384902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2:253" s="48" customFormat="1" ht="12.75" outlineLevel="1" x14ac:dyDescent="0.2">
      <c r="B77" s="108"/>
      <c r="C77" s="168" t="s">
        <v>126</v>
      </c>
      <c r="D77" s="49" t="s">
        <v>148</v>
      </c>
      <c r="E77" s="66" t="s">
        <v>149</v>
      </c>
      <c r="F77" s="35"/>
      <c r="G77" s="36">
        <f t="shared" si="6"/>
        <v>102665.4</v>
      </c>
      <c r="H77" s="37">
        <v>102665.4</v>
      </c>
      <c r="I77" s="37">
        <f t="shared" si="4"/>
        <v>0</v>
      </c>
      <c r="J77" s="38"/>
      <c r="K77" s="25"/>
      <c r="L77" s="26">
        <f t="shared" si="5"/>
        <v>102665.4</v>
      </c>
      <c r="M77" s="22"/>
      <c r="N77" s="22"/>
      <c r="O77" s="22"/>
      <c r="P77" s="22"/>
      <c r="Q77" s="176">
        <f>L77+L78+L79</f>
        <v>147365.4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2:253" s="48" customFormat="1" ht="12.75" outlineLevel="1" x14ac:dyDescent="0.2">
      <c r="B78" s="109"/>
      <c r="C78" s="169"/>
      <c r="D78" s="49" t="s">
        <v>169</v>
      </c>
      <c r="E78" s="70" t="s">
        <v>230</v>
      </c>
      <c r="F78" s="35">
        <v>29700</v>
      </c>
      <c r="G78" s="36">
        <f t="shared" si="6"/>
        <v>0</v>
      </c>
      <c r="H78" s="37"/>
      <c r="I78" s="37">
        <f t="shared" si="4"/>
        <v>0</v>
      </c>
      <c r="J78" s="38"/>
      <c r="K78" s="25"/>
      <c r="L78" s="26">
        <f t="shared" si="5"/>
        <v>29700</v>
      </c>
      <c r="M78" s="22"/>
      <c r="N78" s="22"/>
      <c r="O78" s="22"/>
      <c r="P78" s="22"/>
      <c r="Q78" s="177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2:253" s="48" customFormat="1" ht="12.75" outlineLevel="1" x14ac:dyDescent="0.2">
      <c r="B79" s="110"/>
      <c r="C79" s="170"/>
      <c r="D79" s="49" t="s">
        <v>231</v>
      </c>
      <c r="E79" s="70" t="s">
        <v>230</v>
      </c>
      <c r="F79" s="35">
        <v>15000</v>
      </c>
      <c r="G79" s="36">
        <f t="shared" si="6"/>
        <v>0</v>
      </c>
      <c r="H79" s="37"/>
      <c r="I79" s="37">
        <f t="shared" si="4"/>
        <v>0</v>
      </c>
      <c r="J79" s="38"/>
      <c r="K79" s="25"/>
      <c r="L79" s="26">
        <f t="shared" si="5"/>
        <v>15000</v>
      </c>
      <c r="M79" s="22"/>
      <c r="N79" s="22"/>
      <c r="O79" s="22"/>
      <c r="P79" s="22"/>
      <c r="Q79" s="177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2:253" s="48" customFormat="1" ht="12.75" outlineLevel="1" x14ac:dyDescent="0.2">
      <c r="B80" s="108"/>
      <c r="C80" s="111" t="s">
        <v>127</v>
      </c>
      <c r="D80" s="49" t="s">
        <v>158</v>
      </c>
      <c r="E80" s="66" t="s">
        <v>183</v>
      </c>
      <c r="F80" s="35">
        <f>67735-67735</f>
        <v>0</v>
      </c>
      <c r="G80" s="36">
        <f t="shared" si="6"/>
        <v>0</v>
      </c>
      <c r="H80" s="37"/>
      <c r="I80" s="37">
        <f t="shared" si="4"/>
        <v>0</v>
      </c>
      <c r="J80" s="41"/>
      <c r="K80" s="42"/>
      <c r="L80" s="26">
        <f t="shared" si="5"/>
        <v>0</v>
      </c>
      <c r="M80" s="22"/>
      <c r="N80" s="22"/>
      <c r="O80" s="22"/>
      <c r="P80" s="22"/>
      <c r="Q80" s="176">
        <f>L80+L81+L82+L83+L84+L85+L86</f>
        <v>5503560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2:253" s="48" customFormat="1" ht="25.5" outlineLevel="1" x14ac:dyDescent="0.2">
      <c r="B81" s="109"/>
      <c r="C81" s="112"/>
      <c r="D81" s="49" t="s">
        <v>158</v>
      </c>
      <c r="E81" s="66" t="s">
        <v>184</v>
      </c>
      <c r="F81" s="35">
        <v>125000</v>
      </c>
      <c r="G81" s="36">
        <f t="shared" si="6"/>
        <v>0</v>
      </c>
      <c r="H81" s="37"/>
      <c r="I81" s="37">
        <f t="shared" si="4"/>
        <v>0</v>
      </c>
      <c r="J81" s="41"/>
      <c r="K81" s="43"/>
      <c r="L81" s="26">
        <f t="shared" si="5"/>
        <v>125000</v>
      </c>
      <c r="M81" s="22"/>
      <c r="N81" s="22"/>
      <c r="O81" s="22"/>
      <c r="P81" s="22"/>
      <c r="Q81" s="177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2:253" s="48" customFormat="1" ht="25.5" outlineLevel="1" x14ac:dyDescent="0.2">
      <c r="B82" s="109"/>
      <c r="C82" s="112"/>
      <c r="D82" s="49" t="s">
        <v>167</v>
      </c>
      <c r="E82" s="66" t="s">
        <v>185</v>
      </c>
      <c r="F82" s="35">
        <v>97600</v>
      </c>
      <c r="G82" s="36">
        <f t="shared" si="6"/>
        <v>0</v>
      </c>
      <c r="H82" s="37"/>
      <c r="I82" s="37">
        <f t="shared" si="4"/>
        <v>0</v>
      </c>
      <c r="J82" s="41"/>
      <c r="K82" s="43"/>
      <c r="L82" s="26">
        <f t="shared" si="5"/>
        <v>97600</v>
      </c>
      <c r="M82" s="22"/>
      <c r="N82" s="22"/>
      <c r="O82" s="22"/>
      <c r="P82" s="22"/>
      <c r="Q82" s="177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2:253" s="48" customFormat="1" ht="25.5" outlineLevel="1" x14ac:dyDescent="0.2">
      <c r="B83" s="109"/>
      <c r="C83" s="112"/>
      <c r="D83" s="49" t="s">
        <v>167</v>
      </c>
      <c r="E83" s="66" t="s">
        <v>207</v>
      </c>
      <c r="F83" s="35">
        <v>219000</v>
      </c>
      <c r="G83" s="36">
        <f t="shared" si="6"/>
        <v>0</v>
      </c>
      <c r="H83" s="37"/>
      <c r="I83" s="37">
        <f t="shared" si="4"/>
        <v>0</v>
      </c>
      <c r="J83" s="41"/>
      <c r="K83" s="43"/>
      <c r="L83" s="26">
        <f t="shared" si="5"/>
        <v>219000</v>
      </c>
      <c r="M83" s="22"/>
      <c r="N83" s="22"/>
      <c r="O83" s="22"/>
      <c r="P83" s="22"/>
      <c r="Q83" s="177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2:253" s="48" customFormat="1" ht="25.5" outlineLevel="1" x14ac:dyDescent="0.2">
      <c r="B84" s="109"/>
      <c r="C84" s="112"/>
      <c r="D84" s="49" t="s">
        <v>158</v>
      </c>
      <c r="E84" s="66" t="s">
        <v>206</v>
      </c>
      <c r="F84" s="35">
        <v>409070</v>
      </c>
      <c r="G84" s="36">
        <f>SUM(H84:I84)</f>
        <v>0</v>
      </c>
      <c r="H84" s="37"/>
      <c r="I84" s="37">
        <f>SUM(J84:K84)</f>
        <v>0</v>
      </c>
      <c r="J84" s="41"/>
      <c r="K84" s="43"/>
      <c r="L84" s="26">
        <f>SUM(F84:G84)</f>
        <v>409070</v>
      </c>
      <c r="M84" s="22"/>
      <c r="N84" s="22"/>
      <c r="O84" s="22"/>
      <c r="P84" s="22"/>
      <c r="Q84" s="177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2:253" s="48" customFormat="1" ht="38.25" outlineLevel="1" x14ac:dyDescent="0.2">
      <c r="B85" s="109"/>
      <c r="C85" s="112"/>
      <c r="D85" s="49"/>
      <c r="E85" s="70" t="s">
        <v>221</v>
      </c>
      <c r="F85" s="35">
        <f>622640+95440+67470+34300</f>
        <v>819850</v>
      </c>
      <c r="G85" s="36">
        <f>SUM(H85:I85)</f>
        <v>0</v>
      </c>
      <c r="H85" s="37"/>
      <c r="I85" s="37">
        <f>SUM(J85:K85)</f>
        <v>0</v>
      </c>
      <c r="J85" s="41"/>
      <c r="K85" s="43"/>
      <c r="L85" s="26">
        <f>SUM(F85:G85)</f>
        <v>819850</v>
      </c>
      <c r="M85" s="22"/>
      <c r="N85" s="22"/>
      <c r="O85" s="22"/>
      <c r="P85" s="22"/>
      <c r="Q85" s="177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2:253" s="48" customFormat="1" ht="48.75" customHeight="1" outlineLevel="1" x14ac:dyDescent="0.2">
      <c r="B86" s="109"/>
      <c r="C86" s="112"/>
      <c r="D86" s="49"/>
      <c r="E86" s="70" t="s">
        <v>222</v>
      </c>
      <c r="F86" s="35">
        <f>1964500+773690+1094850</f>
        <v>3833040</v>
      </c>
      <c r="G86" s="36">
        <f>SUM(H86:I86)</f>
        <v>0</v>
      </c>
      <c r="H86" s="37"/>
      <c r="I86" s="37">
        <f>SUM(J86:K86)</f>
        <v>0</v>
      </c>
      <c r="J86" s="41"/>
      <c r="K86" s="43"/>
      <c r="L86" s="26">
        <f>SUM(F86:G86)</f>
        <v>3833040</v>
      </c>
      <c r="M86" s="22"/>
      <c r="N86" s="22"/>
      <c r="O86" s="22"/>
      <c r="P86" s="22"/>
      <c r="Q86" s="177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2:253" s="48" customFormat="1" ht="12.75" outlineLevel="1" x14ac:dyDescent="0.2">
      <c r="B87" s="59"/>
      <c r="C87" s="50" t="s">
        <v>70</v>
      </c>
      <c r="D87" s="49"/>
      <c r="E87" s="67" t="s">
        <v>186</v>
      </c>
      <c r="F87" s="35"/>
      <c r="G87" s="36">
        <f t="shared" si="6"/>
        <v>0</v>
      </c>
      <c r="H87" s="37"/>
      <c r="I87" s="37">
        <f t="shared" si="4"/>
        <v>0</v>
      </c>
      <c r="J87" s="38"/>
      <c r="K87" s="25"/>
      <c r="L87" s="26">
        <f t="shared" si="5"/>
        <v>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2:253" s="48" customFormat="1" ht="12.75" outlineLevel="1" x14ac:dyDescent="0.2">
      <c r="B88" s="59"/>
      <c r="C88" s="50" t="s">
        <v>41</v>
      </c>
      <c r="D88" s="49"/>
      <c r="E88" s="67" t="s">
        <v>186</v>
      </c>
      <c r="F88" s="35"/>
      <c r="G88" s="36">
        <f t="shared" si="6"/>
        <v>0</v>
      </c>
      <c r="H88" s="37"/>
      <c r="I88" s="37">
        <f t="shared" si="4"/>
        <v>0</v>
      </c>
      <c r="J88" s="38"/>
      <c r="K88" s="25"/>
      <c r="L88" s="26">
        <f t="shared" si="5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2:253" s="48" customFormat="1" ht="25.5" outlineLevel="1" x14ac:dyDescent="0.2">
      <c r="B89" s="108"/>
      <c r="C89" s="168" t="s">
        <v>42</v>
      </c>
      <c r="D89" s="49" t="s">
        <v>145</v>
      </c>
      <c r="E89" s="66" t="s">
        <v>146</v>
      </c>
      <c r="F89" s="35"/>
      <c r="G89" s="36">
        <f>SUM(H89:I89)</f>
        <v>0</v>
      </c>
      <c r="H89" s="37">
        <f>28973.12-28973.12</f>
        <v>0</v>
      </c>
      <c r="I89" s="37">
        <f t="shared" si="4"/>
        <v>0</v>
      </c>
      <c r="J89" s="41"/>
      <c r="K89" s="25"/>
      <c r="L89" s="26">
        <f t="shared" si="5"/>
        <v>0</v>
      </c>
      <c r="M89" s="22"/>
      <c r="N89" s="22"/>
      <c r="O89" s="22"/>
      <c r="P89" s="22"/>
      <c r="Q89" s="176">
        <f>L89+L90+L91+L93+L92</f>
        <v>3986016.36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2:253" s="48" customFormat="1" ht="12.75" outlineLevel="1" x14ac:dyDescent="0.2">
      <c r="B90" s="109"/>
      <c r="C90" s="169"/>
      <c r="D90" s="49" t="s">
        <v>158</v>
      </c>
      <c r="E90" s="66" t="s">
        <v>159</v>
      </c>
      <c r="F90" s="35"/>
      <c r="G90" s="36">
        <f t="shared" si="6"/>
        <v>385817</v>
      </c>
      <c r="H90" s="37">
        <v>385817</v>
      </c>
      <c r="I90" s="37">
        <f t="shared" si="4"/>
        <v>0</v>
      </c>
      <c r="J90" s="41"/>
      <c r="K90" s="25"/>
      <c r="L90" s="26">
        <f t="shared" si="5"/>
        <v>385817</v>
      </c>
      <c r="M90" s="22"/>
      <c r="N90" s="22"/>
      <c r="O90" s="22"/>
      <c r="P90" s="22"/>
      <c r="Q90" s="177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2:253" s="48" customFormat="1" ht="25.5" outlineLevel="1" x14ac:dyDescent="0.2">
      <c r="B91" s="109"/>
      <c r="C91" s="169"/>
      <c r="D91" s="49" t="s">
        <v>167</v>
      </c>
      <c r="E91" s="66" t="s">
        <v>146</v>
      </c>
      <c r="F91" s="35"/>
      <c r="G91" s="36">
        <f t="shared" si="6"/>
        <v>57946.239999999998</v>
      </c>
      <c r="H91" s="37">
        <v>57946.239999999998</v>
      </c>
      <c r="I91" s="37">
        <f t="shared" si="4"/>
        <v>0</v>
      </c>
      <c r="J91" s="41"/>
      <c r="K91" s="43"/>
      <c r="L91" s="26">
        <f>SUM(F91:G91)+8.12</f>
        <v>57954.36</v>
      </c>
      <c r="M91" s="22"/>
      <c r="N91" s="22"/>
      <c r="O91" s="22"/>
      <c r="P91" s="22"/>
      <c r="Q91" s="177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2:253" s="48" customFormat="1" ht="12.75" outlineLevel="1" x14ac:dyDescent="0.2">
      <c r="B92" s="109"/>
      <c r="C92" s="169"/>
      <c r="D92" s="49" t="s">
        <v>169</v>
      </c>
      <c r="E92" s="70" t="s">
        <v>233</v>
      </c>
      <c r="F92" s="35">
        <f>4598080-1096820</f>
        <v>3501260</v>
      </c>
      <c r="G92" s="36">
        <f>SUM(H92:I92)</f>
        <v>0</v>
      </c>
      <c r="H92" s="37"/>
      <c r="I92" s="37">
        <f>SUM(J92:K92)</f>
        <v>0</v>
      </c>
      <c r="J92" s="38"/>
      <c r="K92" s="25"/>
      <c r="L92" s="26">
        <f>SUM(F92:G92)</f>
        <v>3501260</v>
      </c>
      <c r="M92" s="82"/>
      <c r="N92" s="82"/>
      <c r="O92" s="82"/>
      <c r="P92" s="82"/>
      <c r="Q92" s="177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</row>
    <row r="93" spans="2:253" s="48" customFormat="1" ht="25.5" outlineLevel="1" x14ac:dyDescent="0.2">
      <c r="B93" s="109"/>
      <c r="C93" s="169"/>
      <c r="D93" s="49" t="s">
        <v>164</v>
      </c>
      <c r="E93" s="66" t="s">
        <v>165</v>
      </c>
      <c r="F93" s="35"/>
      <c r="G93" s="36">
        <f t="shared" si="6"/>
        <v>40985</v>
      </c>
      <c r="H93" s="37"/>
      <c r="I93" s="37">
        <f t="shared" si="4"/>
        <v>40985</v>
      </c>
      <c r="J93" s="38">
        <v>40985</v>
      </c>
      <c r="K93" s="25"/>
      <c r="L93" s="26">
        <f t="shared" si="5"/>
        <v>40985</v>
      </c>
      <c r="M93" s="22"/>
      <c r="N93" s="22"/>
      <c r="O93" s="22"/>
      <c r="P93" s="22"/>
      <c r="Q93" s="177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2:253" s="48" customFormat="1" ht="15" customHeight="1" outlineLevel="1" x14ac:dyDescent="0.2">
      <c r="B94" s="108"/>
      <c r="C94" s="168" t="s">
        <v>43</v>
      </c>
      <c r="D94" s="49"/>
      <c r="E94" s="66" t="s">
        <v>204</v>
      </c>
      <c r="F94" s="35">
        <v>265390</v>
      </c>
      <c r="G94" s="36">
        <f t="shared" si="6"/>
        <v>0</v>
      </c>
      <c r="H94" s="37"/>
      <c r="I94" s="37">
        <f t="shared" si="4"/>
        <v>0</v>
      </c>
      <c r="J94" s="38"/>
      <c r="K94" s="25"/>
      <c r="L94" s="26">
        <f t="shared" si="5"/>
        <v>265390</v>
      </c>
      <c r="M94" s="22"/>
      <c r="N94" s="22"/>
      <c r="O94" s="22"/>
      <c r="P94" s="22"/>
      <c r="Q94" s="176">
        <f>L94+L95+L96+L97</f>
        <v>1011660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2:253" s="48" customFormat="1" ht="12.75" outlineLevel="1" x14ac:dyDescent="0.2">
      <c r="B95" s="109"/>
      <c r="C95" s="169"/>
      <c r="D95" s="49"/>
      <c r="E95" s="66" t="s">
        <v>201</v>
      </c>
      <c r="F95" s="35">
        <v>646270</v>
      </c>
      <c r="G95" s="36">
        <f t="shared" si="6"/>
        <v>0</v>
      </c>
      <c r="H95" s="37"/>
      <c r="I95" s="37">
        <f t="shared" si="4"/>
        <v>0</v>
      </c>
      <c r="J95" s="38"/>
      <c r="K95" s="25"/>
      <c r="L95" s="26">
        <f t="shared" si="5"/>
        <v>646270</v>
      </c>
      <c r="M95" s="22"/>
      <c r="N95" s="22"/>
      <c r="O95" s="22"/>
      <c r="P95" s="22"/>
      <c r="Q95" s="177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2:253" s="48" customFormat="1" ht="12.75" outlineLevel="1" x14ac:dyDescent="0.2">
      <c r="B96" s="109"/>
      <c r="C96" s="169"/>
      <c r="D96" s="49" t="s">
        <v>158</v>
      </c>
      <c r="E96" s="70" t="s">
        <v>242</v>
      </c>
      <c r="F96" s="35">
        <v>50000</v>
      </c>
      <c r="G96" s="36">
        <f t="shared" si="6"/>
        <v>0</v>
      </c>
      <c r="H96" s="37"/>
      <c r="I96" s="37">
        <f t="shared" si="4"/>
        <v>0</v>
      </c>
      <c r="J96" s="38"/>
      <c r="K96" s="25"/>
      <c r="L96" s="26">
        <f t="shared" si="5"/>
        <v>50000</v>
      </c>
      <c r="M96" s="22"/>
      <c r="N96" s="22"/>
      <c r="O96" s="22"/>
      <c r="P96" s="22"/>
      <c r="Q96" s="177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2:253" s="48" customFormat="1" ht="12.75" outlineLevel="1" x14ac:dyDescent="0.2">
      <c r="B97" s="110"/>
      <c r="C97" s="170"/>
      <c r="D97" s="49" t="s">
        <v>231</v>
      </c>
      <c r="E97" s="70" t="s">
        <v>243</v>
      </c>
      <c r="F97" s="35">
        <v>50000</v>
      </c>
      <c r="G97" s="36">
        <f t="shared" si="6"/>
        <v>0</v>
      </c>
      <c r="H97" s="37"/>
      <c r="I97" s="37">
        <f t="shared" si="4"/>
        <v>0</v>
      </c>
      <c r="J97" s="38"/>
      <c r="K97" s="25"/>
      <c r="L97" s="26">
        <f t="shared" si="5"/>
        <v>50000</v>
      </c>
      <c r="M97" s="22"/>
      <c r="N97" s="22"/>
      <c r="O97" s="22"/>
      <c r="P97" s="22"/>
      <c r="Q97" s="177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2:253" s="48" customFormat="1" ht="12.75" x14ac:dyDescent="0.2">
      <c r="B98" s="107" t="s">
        <v>199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26">
        <f>SUM(L27:L97)</f>
        <v>27095380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2:253" s="48" customFormat="1" ht="12.75" x14ac:dyDescent="0.2">
      <c r="B99" s="107" t="s">
        <v>200</v>
      </c>
      <c r="C99" s="107"/>
      <c r="D99" s="107"/>
      <c r="E99" s="107"/>
      <c r="F99" s="107"/>
      <c r="G99" s="107"/>
      <c r="H99" s="107"/>
      <c r="I99" s="107"/>
      <c r="J99" s="107"/>
      <c r="K99" s="107"/>
      <c r="L99" s="26">
        <f>L18+L25+L98</f>
        <v>32464640</v>
      </c>
      <c r="M99" s="54">
        <f>L99-'(01.03.2016'!K71</f>
        <v>13435631.879999999</v>
      </c>
      <c r="N99" s="22"/>
      <c r="O99" s="22"/>
      <c r="P99" s="22"/>
      <c r="Q99" s="54">
        <v>32464640</v>
      </c>
      <c r="R99" s="54">
        <f>Q99-L99</f>
        <v>0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2:253" s="21" customFormat="1" ht="12.75" hidden="1" x14ac:dyDescent="0.25">
      <c r="E100" s="69"/>
      <c r="F100" s="30"/>
      <c r="G100" s="30"/>
      <c r="H100" s="30"/>
      <c r="I100" s="30"/>
      <c r="L100" s="53">
        <v>14430920</v>
      </c>
      <c r="N100" s="45"/>
    </row>
    <row r="101" spans="2:253" s="21" customFormat="1" ht="12.75" hidden="1" x14ac:dyDescent="0.25">
      <c r="E101" s="69"/>
      <c r="F101" s="30"/>
      <c r="G101" s="30"/>
      <c r="H101" s="30"/>
      <c r="I101" s="30"/>
      <c r="L101" s="53">
        <f>L99-L100</f>
        <v>18033720</v>
      </c>
    </row>
    <row r="102" spans="2:253" s="21" customFormat="1" ht="12.75" hidden="1" x14ac:dyDescent="0.25">
      <c r="E102" s="69"/>
      <c r="F102" s="30"/>
      <c r="G102" s="30"/>
      <c r="H102" s="30"/>
      <c r="I102" s="30"/>
    </row>
    <row r="103" spans="2:253" s="21" customFormat="1" ht="12.75" hidden="1" customHeight="1" x14ac:dyDescent="0.25">
      <c r="E103" s="69"/>
      <c r="F103" s="30"/>
      <c r="G103" s="30"/>
      <c r="H103" s="30"/>
      <c r="I103" s="106" t="s">
        <v>67</v>
      </c>
      <c r="J103" s="106"/>
      <c r="K103" s="106"/>
      <c r="L103" s="55">
        <f>SUM(L27:L39)</f>
        <v>3707658.92</v>
      </c>
      <c r="M103" s="45">
        <f>'(01.07.2016'!L103-'(01.03.2016'!K75</f>
        <v>1245560</v>
      </c>
    </row>
    <row r="104" spans="2:253" s="21" customFormat="1" ht="12.75" hidden="1" customHeight="1" x14ac:dyDescent="0.25">
      <c r="E104" s="69"/>
      <c r="F104" s="30"/>
      <c r="G104" s="30"/>
      <c r="H104" s="30"/>
      <c r="I104" s="106" t="s">
        <v>68</v>
      </c>
      <c r="J104" s="106"/>
      <c r="K104" s="106"/>
      <c r="L104" s="55">
        <f>SUM(L40)</f>
        <v>0</v>
      </c>
      <c r="M104" s="45">
        <f>'(01.07.2016'!L104-'(01.03.2016'!K76</f>
        <v>0</v>
      </c>
    </row>
    <row r="105" spans="2:253" s="21" customFormat="1" ht="12.75" hidden="1" customHeight="1" x14ac:dyDescent="0.25">
      <c r="E105" s="69"/>
      <c r="F105" s="30"/>
      <c r="G105" s="30"/>
      <c r="H105" s="30"/>
      <c r="I105" s="106" t="s">
        <v>33</v>
      </c>
      <c r="J105" s="106"/>
      <c r="K105" s="106"/>
      <c r="L105" s="55">
        <f>SUM(L41:L42)</f>
        <v>401798</v>
      </c>
      <c r="M105" s="45">
        <f>'(01.07.2016'!L105-'(01.03.2016'!K77</f>
        <v>0</v>
      </c>
    </row>
    <row r="106" spans="2:253" s="21" customFormat="1" ht="12.75" hidden="1" customHeight="1" x14ac:dyDescent="0.25">
      <c r="E106" s="69"/>
      <c r="F106" s="30"/>
      <c r="G106" s="30"/>
      <c r="H106" s="30"/>
      <c r="I106" s="106" t="s">
        <v>34</v>
      </c>
      <c r="J106" s="106"/>
      <c r="K106" s="106"/>
      <c r="L106" s="55">
        <f>SUM(L44)</f>
        <v>144530</v>
      </c>
      <c r="M106" s="45">
        <f>'(01.07.2016'!L106-'(01.03.2016'!K78</f>
        <v>0</v>
      </c>
    </row>
    <row r="107" spans="2:253" s="21" customFormat="1" ht="12.75" hidden="1" customHeight="1" x14ac:dyDescent="0.25">
      <c r="E107" s="69"/>
      <c r="F107" s="30"/>
      <c r="G107" s="30"/>
      <c r="H107" s="30"/>
      <c r="I107" s="106" t="s">
        <v>35</v>
      </c>
      <c r="J107" s="106"/>
      <c r="K107" s="106"/>
      <c r="L107" s="55">
        <f>SUM(L45:L65)</f>
        <v>9147152.3200000003</v>
      </c>
      <c r="M107" s="45">
        <f>'(01.07.2016'!L107-'(01.03.2016'!K79</f>
        <v>4612075</v>
      </c>
    </row>
    <row r="108" spans="2:253" s="21" customFormat="1" ht="12.75" hidden="1" customHeight="1" x14ac:dyDescent="0.25">
      <c r="E108" s="69"/>
      <c r="F108" s="30"/>
      <c r="G108" s="30"/>
      <c r="H108" s="30"/>
      <c r="I108" s="106" t="s">
        <v>36</v>
      </c>
      <c r="J108" s="106"/>
      <c r="K108" s="106"/>
      <c r="L108" s="55"/>
      <c r="M108" s="45">
        <f>'(01.07.2016'!L108-'(01.03.2016'!K80</f>
        <v>0</v>
      </c>
    </row>
    <row r="109" spans="2:253" s="21" customFormat="1" ht="12.75" hidden="1" customHeight="1" x14ac:dyDescent="0.25">
      <c r="E109" s="69"/>
      <c r="F109" s="30"/>
      <c r="G109" s="30"/>
      <c r="H109" s="30"/>
      <c r="I109" s="106" t="s">
        <v>37</v>
      </c>
      <c r="J109" s="106"/>
      <c r="K109" s="106"/>
      <c r="L109" s="55">
        <f>SUM(L70:L71)</f>
        <v>122227</v>
      </c>
      <c r="M109" s="45">
        <f>'(01.07.2016'!L109-'(01.03.2016'!K81</f>
        <v>0</v>
      </c>
    </row>
    <row r="110" spans="2:253" s="21" customFormat="1" ht="12.75" hidden="1" customHeight="1" x14ac:dyDescent="0.25">
      <c r="E110" s="69"/>
      <c r="F110" s="30"/>
      <c r="G110" s="30"/>
      <c r="H110" s="30"/>
      <c r="I110" s="106" t="s">
        <v>38</v>
      </c>
      <c r="J110" s="106"/>
      <c r="K110" s="106"/>
      <c r="L110" s="55">
        <f>SUM(L72)</f>
        <v>0</v>
      </c>
      <c r="M110" s="45">
        <f>'(01.07.2016'!L110-'(01.03.2016'!K82</f>
        <v>0</v>
      </c>
    </row>
    <row r="111" spans="2:253" s="21" customFormat="1" ht="12.75" hidden="1" customHeight="1" x14ac:dyDescent="0.25">
      <c r="E111" s="69"/>
      <c r="F111" s="30"/>
      <c r="G111" s="30"/>
      <c r="H111" s="30"/>
      <c r="I111" s="106" t="s">
        <v>69</v>
      </c>
      <c r="J111" s="106"/>
      <c r="K111" s="106"/>
      <c r="L111" s="55">
        <f>SUM(L73)</f>
        <v>52570</v>
      </c>
      <c r="M111" s="45">
        <f>'(01.07.2016'!L111-'(01.03.2016'!K83</f>
        <v>52570</v>
      </c>
    </row>
    <row r="112" spans="2:253" s="21" customFormat="1" ht="12.75" hidden="1" x14ac:dyDescent="0.25">
      <c r="E112" s="69"/>
      <c r="F112" s="30"/>
      <c r="G112" s="30"/>
      <c r="H112" s="30"/>
      <c r="I112" s="106" t="s">
        <v>39</v>
      </c>
      <c r="J112" s="106"/>
      <c r="K112" s="106"/>
      <c r="L112" s="55">
        <f>SUM(L75)</f>
        <v>0</v>
      </c>
      <c r="M112" s="45">
        <f>'(01.07.2016'!L112-'(01.03.2016'!K84</f>
        <v>0</v>
      </c>
    </row>
    <row r="113" spans="5:13" s="21" customFormat="1" ht="12.75" hidden="1" customHeight="1" x14ac:dyDescent="0.25">
      <c r="E113" s="69"/>
      <c r="F113" s="30"/>
      <c r="G113" s="30"/>
      <c r="H113" s="30"/>
      <c r="I113" s="106" t="s">
        <v>40</v>
      </c>
      <c r="J113" s="106"/>
      <c r="K113" s="106"/>
      <c r="L113" s="55">
        <f>SUM(L76)</f>
        <v>384902</v>
      </c>
      <c r="M113" s="45">
        <f>'(01.07.2016'!L113-'(01.03.2016'!K85</f>
        <v>0</v>
      </c>
    </row>
    <row r="114" spans="5:13" s="21" customFormat="1" ht="12.75" hidden="1" customHeight="1" x14ac:dyDescent="0.25">
      <c r="E114" s="69"/>
      <c r="F114" s="30"/>
      <c r="G114" s="30"/>
      <c r="H114" s="30"/>
      <c r="I114" s="106" t="s">
        <v>126</v>
      </c>
      <c r="J114" s="106"/>
      <c r="K114" s="106"/>
      <c r="L114" s="55">
        <f>SUM(L77)</f>
        <v>102665.4</v>
      </c>
      <c r="M114" s="45">
        <f>'(01.07.2016'!L114-'(01.03.2016'!K86</f>
        <v>0</v>
      </c>
    </row>
    <row r="115" spans="5:13" s="21" customFormat="1" ht="12.75" hidden="1" customHeight="1" x14ac:dyDescent="0.25">
      <c r="E115" s="69"/>
      <c r="F115" s="30"/>
      <c r="G115" s="30"/>
      <c r="H115" s="30"/>
      <c r="I115" s="106" t="s">
        <v>127</v>
      </c>
      <c r="J115" s="106"/>
      <c r="K115" s="106"/>
      <c r="L115" s="55">
        <f>SUM(L80:L86)</f>
        <v>5503560</v>
      </c>
      <c r="M115" s="45">
        <f>'(01.07.2016'!L115-'(01.03.2016'!K87</f>
        <v>4585155</v>
      </c>
    </row>
    <row r="116" spans="5:13" s="21" customFormat="1" ht="12.75" hidden="1" customHeight="1" x14ac:dyDescent="0.25">
      <c r="E116" s="69"/>
      <c r="F116" s="30"/>
      <c r="G116" s="30"/>
      <c r="H116" s="30"/>
      <c r="I116" s="106" t="s">
        <v>70</v>
      </c>
      <c r="J116" s="106"/>
      <c r="K116" s="106"/>
      <c r="L116" s="55">
        <f>SUM(L87)</f>
        <v>0</v>
      </c>
      <c r="M116" s="45">
        <f>'(01.07.2016'!L116-'(01.03.2016'!K88</f>
        <v>0</v>
      </c>
    </row>
    <row r="117" spans="5:13" s="21" customFormat="1" ht="12.75" hidden="1" customHeight="1" x14ac:dyDescent="0.25">
      <c r="E117" s="69"/>
      <c r="F117" s="30"/>
      <c r="G117" s="30"/>
      <c r="H117" s="30"/>
      <c r="I117" s="106" t="s">
        <v>41</v>
      </c>
      <c r="J117" s="106"/>
      <c r="K117" s="106"/>
      <c r="L117" s="55">
        <f>SUM(L88)</f>
        <v>0</v>
      </c>
      <c r="M117" s="45">
        <f>'(01.07.2016'!L117-'(01.03.2016'!K89</f>
        <v>0</v>
      </c>
    </row>
    <row r="118" spans="5:13" s="21" customFormat="1" ht="12.75" hidden="1" customHeight="1" x14ac:dyDescent="0.25">
      <c r="E118" s="69"/>
      <c r="F118" s="30"/>
      <c r="G118" s="30"/>
      <c r="H118" s="30"/>
      <c r="I118" s="106" t="s">
        <v>42</v>
      </c>
      <c r="J118" s="106"/>
      <c r="K118" s="106"/>
      <c r="L118" s="55">
        <f>SUM(L89:L93)</f>
        <v>3986016.36</v>
      </c>
      <c r="M118" s="45">
        <f>'(01.07.2016'!L118-'(01.03.2016'!K90</f>
        <v>-1096828.1200000006</v>
      </c>
    </row>
    <row r="119" spans="5:13" s="21" customFormat="1" ht="12.75" hidden="1" customHeight="1" x14ac:dyDescent="0.25">
      <c r="E119" s="69"/>
      <c r="F119" s="30"/>
      <c r="G119" s="30"/>
      <c r="H119" s="30"/>
      <c r="I119" s="106" t="s">
        <v>43</v>
      </c>
      <c r="J119" s="106"/>
      <c r="K119" s="106"/>
      <c r="L119" s="55">
        <f>SUM(L94:L95)</f>
        <v>911660</v>
      </c>
      <c r="M119" s="45">
        <f>'(01.07.2016'!L119-'(01.03.2016'!K91</f>
        <v>0</v>
      </c>
    </row>
    <row r="120" spans="5:13" s="21" customFormat="1" ht="15" hidden="1" customHeight="1" x14ac:dyDescent="0.25">
      <c r="E120" s="69"/>
      <c r="F120" s="30"/>
      <c r="G120" s="30"/>
      <c r="H120" s="30"/>
      <c r="I120" s="30"/>
      <c r="L120" s="44">
        <f>SUM(L103:L119)</f>
        <v>24464740</v>
      </c>
    </row>
    <row r="121" spans="5:13" s="21" customFormat="1" ht="15" hidden="1" customHeight="1" x14ac:dyDescent="0.25">
      <c r="E121" s="69"/>
      <c r="F121" s="30"/>
      <c r="G121" s="30"/>
      <c r="H121" s="30"/>
      <c r="I121" s="30"/>
      <c r="L121" s="44">
        <f>L120-L98</f>
        <v>-2630640</v>
      </c>
    </row>
    <row r="122" spans="5:13" s="21" customFormat="1" ht="12.75" hidden="1" x14ac:dyDescent="0.25">
      <c r="E122" s="69"/>
      <c r="F122" s="30"/>
      <c r="G122" s="30"/>
      <c r="H122" s="30"/>
      <c r="I122" s="30"/>
    </row>
    <row r="123" spans="5:13" s="21" customFormat="1" ht="12.75" hidden="1" x14ac:dyDescent="0.25">
      <c r="E123" s="69"/>
      <c r="F123" s="30"/>
      <c r="G123" s="30"/>
      <c r="H123" s="30"/>
      <c r="I123" s="30"/>
    </row>
    <row r="124" spans="5:13" s="21" customFormat="1" ht="12.75" hidden="1" x14ac:dyDescent="0.25">
      <c r="E124" s="69"/>
      <c r="F124" s="30"/>
      <c r="G124" s="30"/>
      <c r="H124" s="30"/>
      <c r="I124" s="30"/>
    </row>
    <row r="125" spans="5:13" s="21" customFormat="1" ht="12.75" hidden="1" x14ac:dyDescent="0.25">
      <c r="E125" s="69"/>
      <c r="F125" s="30"/>
      <c r="G125" s="30"/>
      <c r="H125" s="30"/>
      <c r="I125" s="30"/>
    </row>
    <row r="126" spans="5:13" s="21" customFormat="1" ht="12.75" x14ac:dyDescent="0.25">
      <c r="E126" s="69"/>
      <c r="F126" s="30"/>
      <c r="G126" s="30"/>
      <c r="H126" s="30"/>
      <c r="I126" s="30"/>
    </row>
    <row r="127" spans="5:13" s="21" customFormat="1" ht="12.75" x14ac:dyDescent="0.25">
      <c r="E127" s="69"/>
      <c r="F127" s="30"/>
      <c r="G127" s="30"/>
      <c r="H127" s="30"/>
      <c r="I127" s="30"/>
    </row>
    <row r="128" spans="5:13" s="21" customFormat="1" ht="12.75" x14ac:dyDescent="0.25">
      <c r="E128" s="69"/>
      <c r="F128" s="30"/>
      <c r="G128" s="30"/>
      <c r="H128" s="30"/>
      <c r="I128" s="30"/>
    </row>
    <row r="129" spans="5:9" s="21" customFormat="1" ht="12.75" x14ac:dyDescent="0.25">
      <c r="E129" s="69"/>
      <c r="F129" s="30"/>
      <c r="G129" s="30"/>
      <c r="H129" s="30"/>
      <c r="I129" s="30"/>
    </row>
    <row r="130" spans="5:9" s="21" customFormat="1" ht="12.75" x14ac:dyDescent="0.25">
      <c r="E130" s="69"/>
      <c r="F130" s="30"/>
      <c r="G130" s="30"/>
      <c r="H130" s="30"/>
      <c r="I130" s="30"/>
    </row>
    <row r="131" spans="5:9" s="21" customFormat="1" ht="12.75" x14ac:dyDescent="0.25">
      <c r="E131" s="69"/>
      <c r="F131" s="30"/>
      <c r="G131" s="30"/>
      <c r="H131" s="30"/>
      <c r="I131" s="30"/>
    </row>
    <row r="132" spans="5:9" s="21" customFormat="1" ht="12.75" x14ac:dyDescent="0.25">
      <c r="E132" s="69"/>
      <c r="F132" s="30"/>
      <c r="G132" s="30"/>
      <c r="H132" s="30"/>
      <c r="I132" s="30"/>
    </row>
    <row r="133" spans="5:9" s="21" customFormat="1" ht="12.75" x14ac:dyDescent="0.25">
      <c r="E133" s="69"/>
      <c r="F133" s="30"/>
      <c r="G133" s="30"/>
      <c r="H133" s="30"/>
      <c r="I133" s="30"/>
    </row>
    <row r="134" spans="5:9" s="21" customFormat="1" ht="12.75" x14ac:dyDescent="0.25">
      <c r="E134" s="69"/>
      <c r="F134" s="30"/>
      <c r="G134" s="30"/>
      <c r="H134" s="30"/>
      <c r="I134" s="30"/>
    </row>
    <row r="135" spans="5:9" s="21" customFormat="1" ht="12.75" x14ac:dyDescent="0.25">
      <c r="E135" s="69"/>
      <c r="F135" s="30"/>
      <c r="G135" s="30"/>
      <c r="H135" s="30"/>
      <c r="I135" s="30"/>
    </row>
    <row r="136" spans="5:9" s="21" customFormat="1" ht="12.75" x14ac:dyDescent="0.25">
      <c r="E136" s="69"/>
      <c r="F136" s="30"/>
      <c r="G136" s="30"/>
      <c r="H136" s="30"/>
      <c r="I136" s="30"/>
    </row>
    <row r="137" spans="5:9" s="21" customFormat="1" ht="12.75" x14ac:dyDescent="0.25">
      <c r="E137" s="69"/>
      <c r="F137" s="30"/>
      <c r="G137" s="30"/>
      <c r="H137" s="30"/>
      <c r="I137" s="30"/>
    </row>
    <row r="138" spans="5:9" s="21" customFormat="1" ht="12.75" x14ac:dyDescent="0.25">
      <c r="E138" s="69"/>
      <c r="F138" s="30"/>
      <c r="G138" s="30"/>
      <c r="H138" s="30"/>
      <c r="I138" s="30"/>
    </row>
    <row r="139" spans="5:9" s="21" customFormat="1" ht="12.75" x14ac:dyDescent="0.25">
      <c r="E139" s="69"/>
      <c r="F139" s="30"/>
      <c r="G139" s="30"/>
      <c r="H139" s="30"/>
      <c r="I139" s="30"/>
    </row>
    <row r="140" spans="5:9" s="21" customFormat="1" ht="12.75" x14ac:dyDescent="0.25">
      <c r="E140" s="69"/>
      <c r="F140" s="30"/>
      <c r="G140" s="30"/>
      <c r="H140" s="30"/>
      <c r="I140" s="30"/>
    </row>
    <row r="141" spans="5:9" s="21" customFormat="1" ht="12.75" x14ac:dyDescent="0.25">
      <c r="E141" s="69"/>
      <c r="F141" s="30"/>
      <c r="G141" s="30"/>
      <c r="H141" s="30"/>
      <c r="I141" s="30"/>
    </row>
    <row r="142" spans="5:9" s="21" customFormat="1" ht="12.75" x14ac:dyDescent="0.25">
      <c r="E142" s="69"/>
      <c r="F142" s="30"/>
      <c r="G142" s="30"/>
      <c r="H142" s="30"/>
      <c r="I142" s="30"/>
    </row>
    <row r="143" spans="5:9" s="21" customFormat="1" ht="12.75" x14ac:dyDescent="0.25">
      <c r="E143" s="69"/>
      <c r="F143" s="30"/>
      <c r="G143" s="30"/>
      <c r="H143" s="30"/>
      <c r="I143" s="30"/>
    </row>
    <row r="144" spans="5:9" s="21" customFormat="1" ht="12.75" x14ac:dyDescent="0.25">
      <c r="E144" s="69"/>
      <c r="F144" s="30"/>
      <c r="G144" s="30"/>
      <c r="H144" s="30"/>
      <c r="I144" s="30"/>
    </row>
    <row r="145" spans="5:9" s="21" customFormat="1" ht="12.75" x14ac:dyDescent="0.25">
      <c r="E145" s="69"/>
      <c r="F145" s="30"/>
      <c r="G145" s="30"/>
      <c r="H145" s="30"/>
      <c r="I145" s="30"/>
    </row>
    <row r="146" spans="5:9" s="21" customFormat="1" ht="12.75" x14ac:dyDescent="0.25">
      <c r="E146" s="69"/>
      <c r="F146" s="30"/>
      <c r="G146" s="30"/>
      <c r="H146" s="30"/>
      <c r="I146" s="30"/>
    </row>
    <row r="147" spans="5:9" s="21" customFormat="1" ht="12.75" x14ac:dyDescent="0.25">
      <c r="E147" s="69"/>
      <c r="F147" s="30"/>
      <c r="G147" s="30"/>
      <c r="H147" s="30"/>
      <c r="I147" s="30"/>
    </row>
    <row r="148" spans="5:9" s="21" customFormat="1" ht="12.75" x14ac:dyDescent="0.25">
      <c r="E148" s="69"/>
      <c r="F148" s="30"/>
      <c r="G148" s="30"/>
      <c r="H148" s="30"/>
      <c r="I148" s="30"/>
    </row>
    <row r="149" spans="5:9" s="21" customFormat="1" ht="12.75" x14ac:dyDescent="0.25">
      <c r="E149" s="69"/>
      <c r="F149" s="30"/>
      <c r="G149" s="30"/>
      <c r="H149" s="30"/>
      <c r="I149" s="30"/>
    </row>
    <row r="150" spans="5:9" s="21" customFormat="1" ht="12.75" x14ac:dyDescent="0.25">
      <c r="E150" s="69"/>
      <c r="F150" s="30"/>
      <c r="G150" s="30"/>
      <c r="H150" s="30"/>
      <c r="I150" s="30"/>
    </row>
    <row r="151" spans="5:9" s="21" customFormat="1" ht="12.75" x14ac:dyDescent="0.25">
      <c r="E151" s="69"/>
      <c r="F151" s="30"/>
      <c r="G151" s="30"/>
      <c r="H151" s="30"/>
      <c r="I151" s="30"/>
    </row>
    <row r="152" spans="5:9" s="21" customFormat="1" ht="12.75" x14ac:dyDescent="0.25">
      <c r="E152" s="69"/>
      <c r="F152" s="30"/>
      <c r="G152" s="30"/>
      <c r="H152" s="30"/>
      <c r="I152" s="30"/>
    </row>
    <row r="153" spans="5:9" s="21" customFormat="1" ht="12.75" x14ac:dyDescent="0.25">
      <c r="E153" s="69"/>
      <c r="F153" s="30"/>
      <c r="G153" s="30"/>
      <c r="H153" s="30"/>
      <c r="I153" s="30"/>
    </row>
    <row r="154" spans="5:9" s="21" customFormat="1" ht="12.75" x14ac:dyDescent="0.25">
      <c r="E154" s="69"/>
      <c r="F154" s="30"/>
      <c r="G154" s="30"/>
      <c r="H154" s="30"/>
      <c r="I154" s="30"/>
    </row>
    <row r="155" spans="5:9" s="21" customFormat="1" ht="12.75" x14ac:dyDescent="0.25">
      <c r="E155" s="69"/>
      <c r="F155" s="30"/>
      <c r="G155" s="30"/>
      <c r="H155" s="30"/>
      <c r="I155" s="30"/>
    </row>
    <row r="156" spans="5:9" s="21" customFormat="1" ht="12.75" x14ac:dyDescent="0.25">
      <c r="E156" s="69"/>
      <c r="F156" s="30"/>
      <c r="G156" s="30"/>
      <c r="H156" s="30"/>
      <c r="I156" s="30"/>
    </row>
    <row r="157" spans="5:9" s="21" customFormat="1" ht="12.75" x14ac:dyDescent="0.25">
      <c r="E157" s="69"/>
      <c r="F157" s="30"/>
      <c r="G157" s="30"/>
      <c r="H157" s="30"/>
      <c r="I157" s="30"/>
    </row>
    <row r="158" spans="5:9" s="21" customFormat="1" ht="12.75" x14ac:dyDescent="0.25">
      <c r="E158" s="69"/>
      <c r="F158" s="30"/>
      <c r="G158" s="30"/>
      <c r="H158" s="30"/>
      <c r="I158" s="30"/>
    </row>
    <row r="159" spans="5:9" s="21" customFormat="1" ht="12.75" x14ac:dyDescent="0.25">
      <c r="E159" s="69"/>
      <c r="F159" s="30"/>
      <c r="G159" s="30"/>
      <c r="H159" s="30"/>
      <c r="I159" s="30"/>
    </row>
    <row r="160" spans="5:9" s="21" customFormat="1" ht="12.75" x14ac:dyDescent="0.25">
      <c r="E160" s="69"/>
      <c r="F160" s="30"/>
      <c r="G160" s="30"/>
      <c r="H160" s="30"/>
      <c r="I160" s="30"/>
    </row>
    <row r="161" spans="5:9" s="21" customFormat="1" ht="12.75" x14ac:dyDescent="0.25">
      <c r="E161" s="69"/>
      <c r="F161" s="30"/>
      <c r="G161" s="30"/>
      <c r="H161" s="30"/>
      <c r="I161" s="30"/>
    </row>
    <row r="162" spans="5:9" s="21" customFormat="1" ht="12.75" x14ac:dyDescent="0.25">
      <c r="E162" s="69"/>
      <c r="F162" s="30"/>
      <c r="G162" s="30"/>
      <c r="H162" s="30"/>
      <c r="I162" s="30"/>
    </row>
    <row r="163" spans="5:9" s="21" customFormat="1" ht="12.75" x14ac:dyDescent="0.25">
      <c r="E163" s="69"/>
      <c r="F163" s="30"/>
      <c r="G163" s="30"/>
      <c r="H163" s="30"/>
      <c r="I163" s="30"/>
    </row>
    <row r="164" spans="5:9" s="21" customFormat="1" ht="12.75" x14ac:dyDescent="0.25">
      <c r="E164" s="69"/>
      <c r="F164" s="30"/>
      <c r="G164" s="30"/>
      <c r="H164" s="30"/>
      <c r="I164" s="30"/>
    </row>
    <row r="165" spans="5:9" s="21" customFormat="1" ht="12.75" x14ac:dyDescent="0.25">
      <c r="E165" s="69"/>
      <c r="F165" s="30"/>
      <c r="G165" s="30"/>
      <c r="H165" s="30"/>
      <c r="I165" s="30"/>
    </row>
    <row r="166" spans="5:9" s="21" customFormat="1" ht="12.75" x14ac:dyDescent="0.25">
      <c r="E166" s="69"/>
      <c r="F166" s="30"/>
      <c r="G166" s="30"/>
      <c r="H166" s="30"/>
      <c r="I166" s="30"/>
    </row>
    <row r="167" spans="5:9" s="21" customFormat="1" ht="12.75" x14ac:dyDescent="0.25">
      <c r="E167" s="69"/>
      <c r="F167" s="30"/>
      <c r="G167" s="30"/>
      <c r="H167" s="30"/>
      <c r="I167" s="30"/>
    </row>
    <row r="168" spans="5:9" s="21" customFormat="1" ht="12.75" x14ac:dyDescent="0.25">
      <c r="E168" s="69"/>
      <c r="F168" s="30"/>
      <c r="G168" s="30"/>
      <c r="H168" s="30"/>
      <c r="I168" s="30"/>
    </row>
    <row r="169" spans="5:9" s="21" customFormat="1" ht="12.75" x14ac:dyDescent="0.25">
      <c r="E169" s="69"/>
      <c r="F169" s="30"/>
      <c r="G169" s="30"/>
      <c r="H169" s="30"/>
      <c r="I169" s="30"/>
    </row>
    <row r="170" spans="5:9" s="21" customFormat="1" ht="12.75" x14ac:dyDescent="0.25">
      <c r="E170" s="69"/>
      <c r="F170" s="30"/>
      <c r="G170" s="30"/>
      <c r="H170" s="30"/>
      <c r="I170" s="30"/>
    </row>
    <row r="171" spans="5:9" s="21" customFormat="1" ht="12.75" x14ac:dyDescent="0.25">
      <c r="E171" s="69"/>
      <c r="F171" s="30"/>
      <c r="G171" s="30"/>
      <c r="H171" s="30"/>
      <c r="I171" s="30"/>
    </row>
    <row r="172" spans="5:9" s="21" customFormat="1" ht="12.75" x14ac:dyDescent="0.25">
      <c r="E172" s="69"/>
      <c r="F172" s="30"/>
      <c r="G172" s="30"/>
      <c r="H172" s="30"/>
      <c r="I172" s="30"/>
    </row>
    <row r="173" spans="5:9" s="21" customFormat="1" ht="12.75" x14ac:dyDescent="0.25">
      <c r="E173" s="69"/>
      <c r="F173" s="30"/>
      <c r="G173" s="30"/>
      <c r="H173" s="30"/>
      <c r="I173" s="30"/>
    </row>
    <row r="174" spans="5:9" s="21" customFormat="1" ht="12.75" x14ac:dyDescent="0.25">
      <c r="E174" s="69"/>
      <c r="F174" s="30"/>
      <c r="G174" s="30"/>
      <c r="H174" s="30"/>
      <c r="I174" s="30"/>
    </row>
    <row r="175" spans="5:9" s="21" customFormat="1" ht="12.75" x14ac:dyDescent="0.25">
      <c r="E175" s="69"/>
      <c r="F175" s="30"/>
      <c r="G175" s="30"/>
      <c r="H175" s="30"/>
      <c r="I175" s="30"/>
    </row>
    <row r="176" spans="5:9" s="21" customFormat="1" ht="12.75" x14ac:dyDescent="0.25">
      <c r="E176" s="69"/>
      <c r="F176" s="30"/>
      <c r="G176" s="30"/>
      <c r="H176" s="30"/>
      <c r="I176" s="30"/>
    </row>
    <row r="177" spans="5:9" s="21" customFormat="1" ht="12.75" x14ac:dyDescent="0.25">
      <c r="E177" s="69"/>
      <c r="F177" s="30"/>
      <c r="G177" s="30"/>
      <c r="H177" s="30"/>
      <c r="I177" s="30"/>
    </row>
    <row r="178" spans="5:9" s="21" customFormat="1" ht="12.75" x14ac:dyDescent="0.25">
      <c r="E178" s="69"/>
      <c r="F178" s="30"/>
      <c r="G178" s="30"/>
      <c r="H178" s="30"/>
      <c r="I178" s="30"/>
    </row>
    <row r="179" spans="5:9" s="21" customFormat="1" ht="12.75" x14ac:dyDescent="0.25">
      <c r="E179" s="69"/>
      <c r="F179" s="30"/>
      <c r="G179" s="30"/>
      <c r="H179" s="30"/>
      <c r="I179" s="30"/>
    </row>
    <row r="180" spans="5:9" s="21" customFormat="1" ht="12.75" x14ac:dyDescent="0.25">
      <c r="E180" s="69"/>
      <c r="F180" s="30"/>
      <c r="G180" s="30"/>
      <c r="H180" s="30"/>
      <c r="I180" s="30"/>
    </row>
    <row r="181" spans="5:9" s="21" customFormat="1" ht="12.75" x14ac:dyDescent="0.25">
      <c r="E181" s="69"/>
      <c r="F181" s="30"/>
      <c r="G181" s="30"/>
      <c r="H181" s="30"/>
      <c r="I181" s="30"/>
    </row>
    <row r="182" spans="5:9" s="21" customFormat="1" ht="12.75" x14ac:dyDescent="0.25">
      <c r="E182" s="69"/>
      <c r="F182" s="30"/>
      <c r="G182" s="30"/>
      <c r="H182" s="30"/>
      <c r="I182" s="30"/>
    </row>
    <row r="183" spans="5:9" s="21" customFormat="1" ht="12.75" x14ac:dyDescent="0.25">
      <c r="E183" s="69"/>
      <c r="F183" s="30"/>
      <c r="G183" s="30"/>
      <c r="H183" s="30"/>
      <c r="I183" s="30"/>
    </row>
    <row r="184" spans="5:9" s="21" customFormat="1" ht="12.75" x14ac:dyDescent="0.25">
      <c r="E184" s="69"/>
      <c r="F184" s="30"/>
      <c r="G184" s="30"/>
      <c r="H184" s="30"/>
      <c r="I184" s="30"/>
    </row>
    <row r="185" spans="5:9" s="21" customFormat="1" ht="12.75" x14ac:dyDescent="0.25">
      <c r="E185" s="69"/>
      <c r="F185" s="30"/>
      <c r="G185" s="30"/>
      <c r="H185" s="30"/>
      <c r="I185" s="30"/>
    </row>
    <row r="186" spans="5:9" s="21" customFormat="1" ht="12.75" x14ac:dyDescent="0.25">
      <c r="E186" s="69"/>
      <c r="F186" s="30"/>
      <c r="G186" s="30"/>
      <c r="H186" s="30"/>
      <c r="I186" s="30"/>
    </row>
    <row r="187" spans="5:9" s="21" customFormat="1" ht="12.75" x14ac:dyDescent="0.25">
      <c r="E187" s="69"/>
      <c r="F187" s="30"/>
      <c r="G187" s="30"/>
      <c r="H187" s="30"/>
      <c r="I187" s="30"/>
    </row>
    <row r="188" spans="5:9" s="21" customFormat="1" ht="12.75" x14ac:dyDescent="0.25">
      <c r="E188" s="69"/>
      <c r="F188" s="30"/>
      <c r="G188" s="30"/>
      <c r="H188" s="30"/>
      <c r="I188" s="30"/>
    </row>
    <row r="189" spans="5:9" s="21" customFormat="1" ht="12.75" x14ac:dyDescent="0.25">
      <c r="E189" s="69"/>
      <c r="F189" s="30"/>
      <c r="G189" s="30"/>
      <c r="H189" s="30"/>
      <c r="I189" s="30"/>
    </row>
    <row r="190" spans="5:9" s="21" customFormat="1" ht="12.75" x14ac:dyDescent="0.25">
      <c r="E190" s="69"/>
      <c r="F190" s="30"/>
      <c r="G190" s="30"/>
      <c r="H190" s="30"/>
      <c r="I190" s="30"/>
    </row>
    <row r="191" spans="5:9" s="21" customFormat="1" ht="12.75" x14ac:dyDescent="0.25">
      <c r="E191" s="69"/>
      <c r="F191" s="30"/>
      <c r="G191" s="30"/>
      <c r="H191" s="30"/>
      <c r="I191" s="30"/>
    </row>
    <row r="192" spans="5:9" s="21" customFormat="1" ht="12.75" x14ac:dyDescent="0.25">
      <c r="E192" s="69"/>
      <c r="F192" s="30"/>
      <c r="G192" s="30"/>
      <c r="H192" s="30"/>
      <c r="I192" s="30"/>
    </row>
    <row r="193" spans="5:9" s="21" customFormat="1" ht="12.75" x14ac:dyDescent="0.25">
      <c r="E193" s="69"/>
      <c r="F193" s="30"/>
      <c r="G193" s="30"/>
      <c r="H193" s="30"/>
      <c r="I193" s="30"/>
    </row>
    <row r="194" spans="5:9" s="21" customFormat="1" ht="12.75" x14ac:dyDescent="0.25">
      <c r="E194" s="69"/>
      <c r="F194" s="30"/>
      <c r="G194" s="30"/>
      <c r="H194" s="30"/>
      <c r="I194" s="30"/>
    </row>
    <row r="195" spans="5:9" s="21" customFormat="1" ht="12.75" x14ac:dyDescent="0.25">
      <c r="E195" s="69"/>
      <c r="F195" s="30"/>
      <c r="G195" s="30"/>
      <c r="H195" s="30"/>
      <c r="I195" s="30"/>
    </row>
    <row r="196" spans="5:9" s="21" customFormat="1" ht="12.75" x14ac:dyDescent="0.25">
      <c r="E196" s="69"/>
      <c r="F196" s="30"/>
      <c r="G196" s="30"/>
      <c r="H196" s="30"/>
      <c r="I196" s="30"/>
    </row>
    <row r="197" spans="5:9" s="21" customFormat="1" ht="12.75" x14ac:dyDescent="0.25">
      <c r="E197" s="69"/>
      <c r="F197" s="30"/>
      <c r="G197" s="30"/>
      <c r="H197" s="30"/>
      <c r="I197" s="30"/>
    </row>
    <row r="198" spans="5:9" s="21" customFormat="1" ht="12.75" x14ac:dyDescent="0.25">
      <c r="E198" s="69"/>
      <c r="F198" s="30"/>
      <c r="G198" s="30"/>
      <c r="H198" s="30"/>
      <c r="I198" s="30"/>
    </row>
    <row r="199" spans="5:9" s="21" customFormat="1" ht="12.75" x14ac:dyDescent="0.25">
      <c r="E199" s="69"/>
      <c r="F199" s="30"/>
      <c r="G199" s="30"/>
      <c r="H199" s="30"/>
      <c r="I199" s="30"/>
    </row>
    <row r="200" spans="5:9" s="21" customFormat="1" ht="12.75" x14ac:dyDescent="0.25">
      <c r="E200" s="69"/>
      <c r="F200" s="30"/>
      <c r="G200" s="30"/>
      <c r="H200" s="30"/>
      <c r="I200" s="30"/>
    </row>
    <row r="201" spans="5:9" s="21" customFormat="1" ht="12.75" x14ac:dyDescent="0.25">
      <c r="E201" s="69"/>
      <c r="F201" s="30"/>
      <c r="G201" s="30"/>
      <c r="H201" s="30"/>
      <c r="I201" s="30"/>
    </row>
    <row r="202" spans="5:9" s="21" customFormat="1" ht="12.75" x14ac:dyDescent="0.25">
      <c r="E202" s="69"/>
      <c r="F202" s="30"/>
      <c r="G202" s="30"/>
      <c r="H202" s="30"/>
      <c r="I202" s="30"/>
    </row>
    <row r="203" spans="5:9" s="21" customFormat="1" ht="12.75" x14ac:dyDescent="0.25">
      <c r="E203" s="69"/>
      <c r="F203" s="30"/>
      <c r="G203" s="30"/>
      <c r="H203" s="30"/>
      <c r="I203" s="30"/>
    </row>
    <row r="204" spans="5:9" s="21" customFormat="1" ht="12.75" x14ac:dyDescent="0.25">
      <c r="E204" s="69"/>
      <c r="F204" s="30"/>
      <c r="G204" s="30"/>
      <c r="H204" s="30"/>
      <c r="I204" s="30"/>
    </row>
    <row r="205" spans="5:9" s="21" customFormat="1" ht="12.75" x14ac:dyDescent="0.25">
      <c r="E205" s="69"/>
      <c r="F205" s="30"/>
      <c r="G205" s="30"/>
      <c r="H205" s="30"/>
      <c r="I205" s="30"/>
    </row>
    <row r="206" spans="5:9" s="21" customFormat="1" ht="12.75" x14ac:dyDescent="0.25">
      <c r="E206" s="69"/>
      <c r="F206" s="30"/>
      <c r="G206" s="30"/>
      <c r="H206" s="30"/>
      <c r="I206" s="30"/>
    </row>
    <row r="207" spans="5:9" s="21" customFormat="1" ht="12.75" x14ac:dyDescent="0.25">
      <c r="E207" s="69"/>
      <c r="F207" s="30"/>
      <c r="G207" s="30"/>
      <c r="H207" s="30"/>
      <c r="I207" s="30"/>
    </row>
    <row r="208" spans="5:9" s="21" customFormat="1" ht="12.75" x14ac:dyDescent="0.25">
      <c r="E208" s="69"/>
      <c r="F208" s="30"/>
      <c r="G208" s="30"/>
      <c r="H208" s="30"/>
      <c r="I208" s="30"/>
    </row>
    <row r="209" spans="5:9" s="21" customFormat="1" ht="12.75" x14ac:dyDescent="0.25">
      <c r="E209" s="69"/>
      <c r="F209" s="30"/>
      <c r="G209" s="30"/>
      <c r="H209" s="30"/>
      <c r="I209" s="30"/>
    </row>
    <row r="210" spans="5:9" s="21" customFormat="1" ht="12.75" x14ac:dyDescent="0.25">
      <c r="E210" s="69"/>
      <c r="F210" s="30"/>
      <c r="G210" s="30"/>
      <c r="H210" s="30"/>
      <c r="I210" s="30"/>
    </row>
    <row r="211" spans="5:9" s="21" customFormat="1" ht="12.75" x14ac:dyDescent="0.25">
      <c r="E211" s="69"/>
      <c r="F211" s="30"/>
      <c r="G211" s="30"/>
      <c r="H211" s="30"/>
      <c r="I211" s="30"/>
    </row>
    <row r="212" spans="5:9" s="21" customFormat="1" ht="12.75" x14ac:dyDescent="0.25">
      <c r="E212" s="69"/>
      <c r="F212" s="30"/>
      <c r="G212" s="30"/>
      <c r="H212" s="30"/>
      <c r="I212" s="30"/>
    </row>
    <row r="213" spans="5:9" s="21" customFormat="1" ht="12.75" x14ac:dyDescent="0.25">
      <c r="E213" s="69"/>
      <c r="F213" s="30"/>
      <c r="G213" s="30"/>
      <c r="H213" s="30"/>
      <c r="I213" s="30"/>
    </row>
    <row r="214" spans="5:9" s="21" customFormat="1" ht="12.75" x14ac:dyDescent="0.25">
      <c r="E214" s="69"/>
      <c r="F214" s="30"/>
      <c r="G214" s="30"/>
      <c r="H214" s="30"/>
      <c r="I214" s="30"/>
    </row>
    <row r="215" spans="5:9" s="21" customFormat="1" ht="12.75" x14ac:dyDescent="0.25">
      <c r="E215" s="69"/>
      <c r="F215" s="30"/>
      <c r="G215" s="30"/>
      <c r="H215" s="30"/>
      <c r="I215" s="30"/>
    </row>
    <row r="216" spans="5:9" s="21" customFormat="1" ht="12.75" x14ac:dyDescent="0.25">
      <c r="E216" s="69"/>
      <c r="F216" s="30"/>
      <c r="G216" s="30"/>
      <c r="H216" s="30"/>
      <c r="I216" s="30"/>
    </row>
    <row r="217" spans="5:9" s="21" customFormat="1" ht="12.75" x14ac:dyDescent="0.25">
      <c r="E217" s="69"/>
      <c r="F217" s="30"/>
      <c r="G217" s="30"/>
      <c r="H217" s="30"/>
      <c r="I217" s="30"/>
    </row>
    <row r="218" spans="5:9" s="21" customFormat="1" ht="12.75" x14ac:dyDescent="0.25">
      <c r="E218" s="69"/>
      <c r="F218" s="30"/>
      <c r="G218" s="30"/>
      <c r="H218" s="30"/>
      <c r="I218" s="30"/>
    </row>
    <row r="219" spans="5:9" s="21" customFormat="1" ht="12.75" x14ac:dyDescent="0.25">
      <c r="E219" s="69"/>
      <c r="F219" s="30"/>
      <c r="G219" s="30"/>
      <c r="H219" s="30"/>
      <c r="I219" s="30"/>
    </row>
    <row r="220" spans="5:9" s="21" customFormat="1" ht="12.75" x14ac:dyDescent="0.25">
      <c r="E220" s="69"/>
      <c r="F220" s="30"/>
      <c r="G220" s="30"/>
      <c r="H220" s="30"/>
      <c r="I220" s="30"/>
    </row>
    <row r="221" spans="5:9" s="21" customFormat="1" ht="12.75" x14ac:dyDescent="0.25">
      <c r="E221" s="69"/>
      <c r="F221" s="30"/>
      <c r="G221" s="30"/>
      <c r="H221" s="30"/>
      <c r="I221" s="30"/>
    </row>
    <row r="222" spans="5:9" s="21" customFormat="1" ht="12.75" x14ac:dyDescent="0.25">
      <c r="E222" s="69"/>
      <c r="F222" s="30"/>
      <c r="G222" s="30"/>
      <c r="H222" s="30"/>
      <c r="I222" s="30"/>
    </row>
    <row r="223" spans="5:9" s="21" customFormat="1" ht="12.75" x14ac:dyDescent="0.25">
      <c r="E223" s="69"/>
      <c r="F223" s="30"/>
      <c r="G223" s="30"/>
      <c r="H223" s="30"/>
      <c r="I223" s="30"/>
    </row>
    <row r="224" spans="5:9" s="21" customFormat="1" ht="12.75" x14ac:dyDescent="0.25">
      <c r="E224" s="69"/>
      <c r="F224" s="30"/>
      <c r="G224" s="30"/>
      <c r="H224" s="30"/>
      <c r="I224" s="30"/>
    </row>
    <row r="225" spans="5:9" s="21" customFormat="1" ht="12.75" x14ac:dyDescent="0.25">
      <c r="E225" s="69"/>
      <c r="F225" s="30"/>
      <c r="G225" s="30"/>
      <c r="H225" s="30"/>
      <c r="I225" s="30"/>
    </row>
    <row r="226" spans="5:9" s="21" customFormat="1" ht="12.75" x14ac:dyDescent="0.25">
      <c r="E226" s="69"/>
      <c r="F226" s="30"/>
      <c r="G226" s="30"/>
      <c r="H226" s="30"/>
      <c r="I226" s="30"/>
    </row>
    <row r="227" spans="5:9" s="21" customFormat="1" ht="12.75" x14ac:dyDescent="0.25">
      <c r="E227" s="69"/>
      <c r="F227" s="30"/>
      <c r="G227" s="30"/>
      <c r="H227" s="30"/>
      <c r="I227" s="30"/>
    </row>
    <row r="228" spans="5:9" s="21" customFormat="1" ht="12.75" x14ac:dyDescent="0.25">
      <c r="E228" s="69"/>
      <c r="F228" s="30"/>
      <c r="G228" s="30"/>
      <c r="H228" s="30"/>
      <c r="I228" s="30"/>
    </row>
    <row r="229" spans="5:9" s="21" customFormat="1" ht="12.75" x14ac:dyDescent="0.25">
      <c r="E229" s="69"/>
      <c r="F229" s="30"/>
      <c r="G229" s="30"/>
      <c r="H229" s="30"/>
      <c r="I229" s="30"/>
    </row>
    <row r="230" spans="5:9" s="21" customFormat="1" ht="12.75" x14ac:dyDescent="0.25">
      <c r="E230" s="69"/>
      <c r="F230" s="30"/>
      <c r="G230" s="30"/>
      <c r="H230" s="30"/>
      <c r="I230" s="30"/>
    </row>
    <row r="231" spans="5:9" s="21" customFormat="1" ht="12.75" x14ac:dyDescent="0.25">
      <c r="E231" s="69"/>
      <c r="F231" s="30"/>
      <c r="G231" s="30"/>
      <c r="H231" s="30"/>
      <c r="I231" s="30"/>
    </row>
    <row r="232" spans="5:9" s="21" customFormat="1" ht="12.75" x14ac:dyDescent="0.25">
      <c r="E232" s="69"/>
      <c r="F232" s="30"/>
      <c r="G232" s="30"/>
      <c r="H232" s="30"/>
      <c r="I232" s="30"/>
    </row>
    <row r="233" spans="5:9" s="21" customFormat="1" ht="12.75" x14ac:dyDescent="0.25">
      <c r="E233" s="69"/>
      <c r="F233" s="30"/>
      <c r="G233" s="30"/>
      <c r="H233" s="30"/>
      <c r="I233" s="30"/>
    </row>
    <row r="234" spans="5:9" s="21" customFormat="1" ht="12.75" x14ac:dyDescent="0.25">
      <c r="E234" s="69"/>
      <c r="F234" s="30"/>
      <c r="G234" s="30"/>
      <c r="H234" s="30"/>
      <c r="I234" s="30"/>
    </row>
    <row r="235" spans="5:9" s="21" customFormat="1" ht="12.75" x14ac:dyDescent="0.25">
      <c r="E235" s="69"/>
      <c r="F235" s="30"/>
      <c r="G235" s="30"/>
      <c r="H235" s="30"/>
      <c r="I235" s="30"/>
    </row>
    <row r="236" spans="5:9" s="21" customFormat="1" ht="12.75" x14ac:dyDescent="0.25">
      <c r="E236" s="69"/>
      <c r="F236" s="30"/>
      <c r="G236" s="30"/>
      <c r="H236" s="30"/>
      <c r="I236" s="30"/>
    </row>
    <row r="237" spans="5:9" s="21" customFormat="1" ht="12.75" x14ac:dyDescent="0.25">
      <c r="E237" s="69"/>
      <c r="F237" s="30"/>
      <c r="G237" s="30"/>
      <c r="H237" s="30"/>
      <c r="I237" s="30"/>
    </row>
    <row r="238" spans="5:9" s="21" customFormat="1" ht="12.75" x14ac:dyDescent="0.25">
      <c r="E238" s="69"/>
      <c r="F238" s="30"/>
      <c r="G238" s="30"/>
      <c r="H238" s="30"/>
      <c r="I238" s="30"/>
    </row>
    <row r="239" spans="5:9" s="21" customFormat="1" ht="12.75" x14ac:dyDescent="0.25">
      <c r="E239" s="69"/>
      <c r="F239" s="30"/>
      <c r="G239" s="30"/>
      <c r="H239" s="30"/>
      <c r="I239" s="30"/>
    </row>
    <row r="240" spans="5:9" s="21" customFormat="1" ht="12.75" x14ac:dyDescent="0.25">
      <c r="E240" s="69"/>
      <c r="F240" s="30"/>
      <c r="G240" s="30"/>
      <c r="H240" s="30"/>
      <c r="I240" s="30"/>
    </row>
    <row r="241" spans="5:9" s="21" customFormat="1" ht="12.75" x14ac:dyDescent="0.25">
      <c r="E241" s="69"/>
      <c r="F241" s="30"/>
      <c r="G241" s="30"/>
      <c r="H241" s="30"/>
      <c r="I241" s="30"/>
    </row>
    <row r="242" spans="5:9" s="21" customFormat="1" ht="12.75" x14ac:dyDescent="0.25">
      <c r="E242" s="69"/>
      <c r="F242" s="30"/>
      <c r="G242" s="30"/>
      <c r="H242" s="30"/>
      <c r="I242" s="30"/>
    </row>
    <row r="243" spans="5:9" s="21" customFormat="1" ht="12.75" x14ac:dyDescent="0.25">
      <c r="E243" s="69"/>
      <c r="F243" s="30"/>
      <c r="G243" s="30"/>
      <c r="H243" s="30"/>
      <c r="I243" s="30"/>
    </row>
    <row r="244" spans="5:9" s="21" customFormat="1" ht="12.75" x14ac:dyDescent="0.25">
      <c r="E244" s="69"/>
      <c r="F244" s="30"/>
      <c r="G244" s="30"/>
      <c r="H244" s="30"/>
      <c r="I244" s="30"/>
    </row>
    <row r="245" spans="5:9" s="21" customFormat="1" ht="12.75" x14ac:dyDescent="0.25">
      <c r="E245" s="69"/>
      <c r="F245" s="30"/>
      <c r="G245" s="30"/>
      <c r="H245" s="30"/>
      <c r="I245" s="30"/>
    </row>
    <row r="246" spans="5:9" s="21" customFormat="1" ht="12.75" x14ac:dyDescent="0.25">
      <c r="E246" s="69"/>
      <c r="F246" s="30"/>
      <c r="G246" s="30"/>
      <c r="H246" s="30"/>
      <c r="I246" s="30"/>
    </row>
    <row r="247" spans="5:9" s="21" customFormat="1" ht="12.75" x14ac:dyDescent="0.25">
      <c r="E247" s="69"/>
      <c r="F247" s="30"/>
      <c r="G247" s="30"/>
      <c r="H247" s="30"/>
      <c r="I247" s="30"/>
    </row>
    <row r="248" spans="5:9" s="21" customFormat="1" ht="12.75" x14ac:dyDescent="0.25">
      <c r="E248" s="69"/>
      <c r="F248" s="30"/>
      <c r="G248" s="30"/>
      <c r="H248" s="30"/>
      <c r="I248" s="30"/>
    </row>
    <row r="249" spans="5:9" s="21" customFormat="1" ht="12.75" x14ac:dyDescent="0.25">
      <c r="E249" s="69"/>
      <c r="F249" s="30"/>
      <c r="G249" s="30"/>
      <c r="H249" s="30"/>
      <c r="I249" s="30"/>
    </row>
    <row r="250" spans="5:9" s="21" customFormat="1" ht="12.75" x14ac:dyDescent="0.25">
      <c r="E250" s="69"/>
      <c r="F250" s="30"/>
      <c r="G250" s="30"/>
      <c r="H250" s="30"/>
      <c r="I250" s="30"/>
    </row>
    <row r="251" spans="5:9" s="21" customFormat="1" ht="12.75" x14ac:dyDescent="0.25">
      <c r="E251" s="69"/>
      <c r="F251" s="30"/>
      <c r="G251" s="30"/>
      <c r="H251" s="30"/>
      <c r="I251" s="30"/>
    </row>
    <row r="252" spans="5:9" s="21" customFormat="1" ht="12.75" x14ac:dyDescent="0.25">
      <c r="E252" s="69"/>
      <c r="F252" s="30"/>
      <c r="G252" s="30"/>
      <c r="H252" s="30"/>
      <c r="I252" s="30"/>
    </row>
    <row r="253" spans="5:9" s="21" customFormat="1" ht="12.75" x14ac:dyDescent="0.25">
      <c r="E253" s="69"/>
      <c r="F253" s="30"/>
      <c r="G253" s="30"/>
      <c r="H253" s="30"/>
      <c r="I253" s="30"/>
    </row>
    <row r="254" spans="5:9" s="21" customFormat="1" ht="12.75" x14ac:dyDescent="0.25">
      <c r="E254" s="69"/>
      <c r="F254" s="30"/>
      <c r="G254" s="30"/>
      <c r="H254" s="30"/>
      <c r="I254" s="30"/>
    </row>
    <row r="255" spans="5:9" s="21" customFormat="1" ht="12.75" x14ac:dyDescent="0.25">
      <c r="E255" s="69"/>
      <c r="F255" s="30"/>
      <c r="G255" s="30"/>
      <c r="H255" s="30"/>
      <c r="I255" s="30"/>
    </row>
    <row r="256" spans="5:9" s="21" customFormat="1" ht="12.75" x14ac:dyDescent="0.25">
      <c r="E256" s="69"/>
      <c r="F256" s="30"/>
      <c r="G256" s="30"/>
      <c r="H256" s="30"/>
      <c r="I256" s="30"/>
    </row>
    <row r="257" spans="5:9" s="21" customFormat="1" ht="12.75" x14ac:dyDescent="0.25">
      <c r="E257" s="69"/>
      <c r="F257" s="30"/>
      <c r="G257" s="30"/>
      <c r="H257" s="30"/>
      <c r="I257" s="30"/>
    </row>
    <row r="258" spans="5:9" s="21" customFormat="1" ht="12.75" x14ac:dyDescent="0.25">
      <c r="E258" s="69"/>
      <c r="F258" s="30"/>
      <c r="G258" s="30"/>
      <c r="H258" s="30"/>
      <c r="I258" s="30"/>
    </row>
    <row r="259" spans="5:9" s="21" customFormat="1" ht="12.75" x14ac:dyDescent="0.25">
      <c r="E259" s="69"/>
      <c r="F259" s="30"/>
      <c r="G259" s="30"/>
      <c r="H259" s="30"/>
      <c r="I259" s="30"/>
    </row>
    <row r="260" spans="5:9" s="21" customFormat="1" ht="12.75" x14ac:dyDescent="0.25">
      <c r="E260" s="69"/>
      <c r="F260" s="30"/>
      <c r="G260" s="30"/>
      <c r="H260" s="30"/>
      <c r="I260" s="30"/>
    </row>
    <row r="261" spans="5:9" s="21" customFormat="1" ht="12.75" x14ac:dyDescent="0.25">
      <c r="E261" s="69"/>
      <c r="F261" s="30"/>
      <c r="G261" s="30"/>
      <c r="H261" s="30"/>
      <c r="I261" s="30"/>
    </row>
    <row r="262" spans="5:9" s="21" customFormat="1" ht="12.75" x14ac:dyDescent="0.25">
      <c r="E262" s="69"/>
      <c r="F262" s="30"/>
      <c r="G262" s="30"/>
      <c r="H262" s="30"/>
      <c r="I262" s="30"/>
    </row>
    <row r="263" spans="5:9" s="21" customFormat="1" ht="12.75" x14ac:dyDescent="0.25">
      <c r="E263" s="69"/>
      <c r="F263" s="30"/>
      <c r="G263" s="30"/>
      <c r="H263" s="30"/>
      <c r="I263" s="30"/>
    </row>
    <row r="264" spans="5:9" s="21" customFormat="1" ht="12.75" x14ac:dyDescent="0.25">
      <c r="E264" s="69"/>
      <c r="F264" s="30"/>
      <c r="G264" s="30"/>
      <c r="H264" s="30"/>
      <c r="I264" s="30"/>
    </row>
  </sheetData>
  <mergeCells count="72">
    <mergeCell ref="Q70:Q71"/>
    <mergeCell ref="Q73:Q74"/>
    <mergeCell ref="Q77:Q79"/>
    <mergeCell ref="Q80:Q86"/>
    <mergeCell ref="Q89:Q93"/>
    <mergeCell ref="Q94:Q97"/>
    <mergeCell ref="Q10:Q13"/>
    <mergeCell ref="Q14:Q16"/>
    <mergeCell ref="Q20:Q23"/>
    <mergeCell ref="Q27:Q39"/>
    <mergeCell ref="Q41:Q43"/>
    <mergeCell ref="Q45:Q68"/>
    <mergeCell ref="I119:K119"/>
    <mergeCell ref="C10:C13"/>
    <mergeCell ref="B10:B13"/>
    <mergeCell ref="C20:C23"/>
    <mergeCell ref="B20:B23"/>
    <mergeCell ref="I113:K113"/>
    <mergeCell ref="I114:K114"/>
    <mergeCell ref="I115:K115"/>
    <mergeCell ref="I116:K116"/>
    <mergeCell ref="I117:K117"/>
    <mergeCell ref="I106:K106"/>
    <mergeCell ref="I118:K118"/>
    <mergeCell ref="I107:K107"/>
    <mergeCell ref="I108:K108"/>
    <mergeCell ref="I109:K109"/>
    <mergeCell ref="I110:K110"/>
    <mergeCell ref="I111:K111"/>
    <mergeCell ref="I112:K112"/>
    <mergeCell ref="B99:K99"/>
    <mergeCell ref="I103:K103"/>
    <mergeCell ref="C89:C93"/>
    <mergeCell ref="B89:B93"/>
    <mergeCell ref="I104:K104"/>
    <mergeCell ref="I105:K105"/>
    <mergeCell ref="C70:C71"/>
    <mergeCell ref="B18:K18"/>
    <mergeCell ref="B19:L19"/>
    <mergeCell ref="B25:K25"/>
    <mergeCell ref="B26:L26"/>
    <mergeCell ref="B98:K98"/>
    <mergeCell ref="B73:B74"/>
    <mergeCell ref="C41:C43"/>
    <mergeCell ref="B41:B43"/>
    <mergeCell ref="B1:L1"/>
    <mergeCell ref="B3:B6"/>
    <mergeCell ref="C3:C6"/>
    <mergeCell ref="D3:D6"/>
    <mergeCell ref="E3:E6"/>
    <mergeCell ref="F3:K3"/>
    <mergeCell ref="L3:L6"/>
    <mergeCell ref="F4:F6"/>
    <mergeCell ref="G4:K4"/>
    <mergeCell ref="G5:G6"/>
    <mergeCell ref="H5:H6"/>
    <mergeCell ref="I5:K5"/>
    <mergeCell ref="B8:L8"/>
    <mergeCell ref="B14:B16"/>
    <mergeCell ref="C14:C16"/>
    <mergeCell ref="B27:B39"/>
    <mergeCell ref="C27:C39"/>
    <mergeCell ref="M52:M53"/>
    <mergeCell ref="C94:C97"/>
    <mergeCell ref="B94:B97"/>
    <mergeCell ref="C45:C68"/>
    <mergeCell ref="B45:B68"/>
    <mergeCell ref="B80:B86"/>
    <mergeCell ref="C80:C86"/>
    <mergeCell ref="C77:C79"/>
    <mergeCell ref="B77:B79"/>
    <mergeCell ref="C73:C74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  <rowBreaks count="3" manualBreakCount="3">
    <brk id="52" max="16" man="1"/>
    <brk id="99" max="16" man="1"/>
    <brk id="12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outlinePr summaryBelow="0" summaryRight="0"/>
  </sheetPr>
  <dimension ref="A1:M152"/>
  <sheetViews>
    <sheetView topLeftCell="A3" zoomScale="85" zoomScaleNormal="85" workbookViewId="0">
      <selection activeCell="E145" sqref="E145"/>
    </sheetView>
  </sheetViews>
  <sheetFormatPr defaultRowHeight="15" outlineLevelRow="2" x14ac:dyDescent="0.25"/>
  <cols>
    <col min="1" max="1" width="8.85546875" style="14" customWidth="1"/>
    <col min="2" max="2" width="46" style="2" customWidth="1"/>
    <col min="3" max="3" width="13.7109375" style="2" customWidth="1"/>
    <col min="4" max="4" width="15.7109375" style="2" customWidth="1"/>
    <col min="5" max="5" width="11.28515625" style="2" customWidth="1"/>
    <col min="6" max="7" width="12.7109375" style="2" bestFit="1" customWidth="1"/>
    <col min="8" max="8" width="11.5703125" style="2" customWidth="1"/>
    <col min="9" max="9" width="35.7109375" style="2" customWidth="1"/>
    <col min="10" max="10" width="8.85546875" style="2" customWidth="1"/>
    <col min="11" max="12" width="9.42578125" style="2" bestFit="1" customWidth="1"/>
    <col min="13" max="13" width="12.140625" style="2" customWidth="1"/>
    <col min="14" max="16384" width="9.140625" style="2"/>
  </cols>
  <sheetData>
    <row r="1" spans="1:13" ht="53.25" hidden="1" customHeight="1" x14ac:dyDescent="0.25">
      <c r="I1" s="13"/>
      <c r="J1" s="157" t="s">
        <v>125</v>
      </c>
      <c r="K1" s="158"/>
      <c r="L1" s="158"/>
      <c r="M1" s="159"/>
    </row>
    <row r="2" spans="1:13" ht="9" hidden="1" customHeight="1" x14ac:dyDescent="0.25">
      <c r="J2" s="13"/>
      <c r="K2" s="13"/>
      <c r="L2" s="13"/>
      <c r="M2" s="13"/>
    </row>
    <row r="3" spans="1:13" ht="9" customHeight="1" x14ac:dyDescent="0.25">
      <c r="J3" s="178" t="s">
        <v>248</v>
      </c>
      <c r="K3" s="179"/>
      <c r="L3" s="179"/>
      <c r="M3" s="179"/>
    </row>
    <row r="4" spans="1:13" ht="9" customHeight="1" x14ac:dyDescent="0.25">
      <c r="J4" s="179"/>
      <c r="K4" s="179"/>
      <c r="L4" s="179"/>
      <c r="M4" s="179"/>
    </row>
    <row r="5" spans="1:13" ht="9" customHeight="1" x14ac:dyDescent="0.25">
      <c r="J5" s="179"/>
      <c r="K5" s="179"/>
      <c r="L5" s="179"/>
      <c r="M5" s="179"/>
    </row>
    <row r="6" spans="1:13" ht="9" customHeight="1" x14ac:dyDescent="0.25">
      <c r="J6" s="179"/>
      <c r="K6" s="179"/>
      <c r="L6" s="179"/>
      <c r="M6" s="179"/>
    </row>
    <row r="7" spans="1:13" ht="39.75" customHeight="1" x14ac:dyDescent="0.25">
      <c r="J7" s="179"/>
      <c r="K7" s="179"/>
      <c r="L7" s="179"/>
      <c r="M7" s="179"/>
    </row>
    <row r="8" spans="1:13" s="6" customFormat="1" ht="16.5" customHeight="1" x14ac:dyDescent="0.3">
      <c r="A8" s="160" t="s">
        <v>45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s="6" customFormat="1" ht="16.5" customHeight="1" x14ac:dyDescent="0.3">
      <c r="A9" s="81"/>
      <c r="B9" s="81"/>
      <c r="C9" s="81"/>
      <c r="D9" s="81"/>
      <c r="E9" s="81"/>
      <c r="F9" s="81"/>
      <c r="G9" s="81"/>
      <c r="H9" s="81"/>
      <c r="I9" s="81"/>
      <c r="J9" s="81"/>
      <c r="K9" s="180" t="s">
        <v>249</v>
      </c>
      <c r="L9" s="181"/>
      <c r="M9" s="181"/>
    </row>
    <row r="10" spans="1:13" ht="9" customHeight="1" x14ac:dyDescent="0.25"/>
    <row r="11" spans="1:13" ht="15.75" customHeight="1" x14ac:dyDescent="0.25">
      <c r="A11" s="162" t="s">
        <v>0</v>
      </c>
      <c r="B11" s="161" t="s">
        <v>46</v>
      </c>
      <c r="C11" s="161" t="s">
        <v>2</v>
      </c>
      <c r="D11" s="161" t="s">
        <v>3</v>
      </c>
      <c r="E11" s="161" t="s">
        <v>4</v>
      </c>
      <c r="F11" s="161"/>
      <c r="G11" s="161"/>
      <c r="H11" s="161"/>
      <c r="I11" s="161" t="s">
        <v>5</v>
      </c>
      <c r="J11" s="161"/>
      <c r="K11" s="161"/>
      <c r="L11" s="161"/>
      <c r="M11" s="161"/>
    </row>
    <row r="12" spans="1:13" x14ac:dyDescent="0.25">
      <c r="A12" s="162"/>
      <c r="B12" s="161"/>
      <c r="C12" s="161"/>
      <c r="D12" s="161"/>
      <c r="E12" s="161" t="s">
        <v>6</v>
      </c>
      <c r="F12" s="161" t="s">
        <v>7</v>
      </c>
      <c r="G12" s="161"/>
      <c r="H12" s="161"/>
      <c r="I12" s="161"/>
      <c r="J12" s="161"/>
      <c r="K12" s="161"/>
      <c r="L12" s="161"/>
      <c r="M12" s="161"/>
    </row>
    <row r="13" spans="1:13" x14ac:dyDescent="0.25">
      <c r="A13" s="162"/>
      <c r="B13" s="161"/>
      <c r="C13" s="161"/>
      <c r="D13" s="161"/>
      <c r="E13" s="161"/>
      <c r="F13" s="1">
        <v>2014</v>
      </c>
      <c r="G13" s="1">
        <v>2015</v>
      </c>
      <c r="H13" s="1">
        <v>2016</v>
      </c>
      <c r="I13" s="1" t="s">
        <v>1</v>
      </c>
      <c r="J13" s="1" t="s">
        <v>8</v>
      </c>
      <c r="K13" s="1">
        <v>2014</v>
      </c>
      <c r="L13" s="1">
        <v>2015</v>
      </c>
      <c r="M13" s="1">
        <v>2016</v>
      </c>
    </row>
    <row r="14" spans="1:13" ht="12" customHeight="1" x14ac:dyDescent="0.25">
      <c r="A14" s="15">
        <v>1</v>
      </c>
      <c r="B14" s="1">
        <v>2</v>
      </c>
      <c r="C14" s="1">
        <v>3</v>
      </c>
      <c r="D14" s="1"/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</row>
    <row r="15" spans="1:13" ht="27" customHeight="1" x14ac:dyDescent="0.25">
      <c r="A15" s="146" t="s">
        <v>47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3" x14ac:dyDescent="0.25">
      <c r="A16" s="16"/>
      <c r="B16" s="146" t="s">
        <v>131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s="6" customFormat="1" ht="14.25" customHeight="1" x14ac:dyDescent="0.2">
      <c r="A17" s="117" t="s">
        <v>132</v>
      </c>
      <c r="B17" s="120" t="s">
        <v>130</v>
      </c>
      <c r="C17" s="146"/>
      <c r="D17" s="3" t="s">
        <v>6</v>
      </c>
      <c r="E17" s="7">
        <f>SUM(F17:H17)</f>
        <v>11462137</v>
      </c>
      <c r="F17" s="7">
        <f>SUM(F18:F19)</f>
        <v>5271197</v>
      </c>
      <c r="G17" s="7">
        <f>SUM(G18:G19)</f>
        <v>3415930</v>
      </c>
      <c r="H17" s="7">
        <f>SUM(H18:H19)</f>
        <v>2775010</v>
      </c>
      <c r="I17" s="132" t="s">
        <v>100</v>
      </c>
      <c r="J17" s="129" t="s">
        <v>9</v>
      </c>
      <c r="K17" s="129" t="s">
        <v>101</v>
      </c>
      <c r="L17" s="129" t="s">
        <v>102</v>
      </c>
      <c r="M17" s="114" t="s">
        <v>102</v>
      </c>
    </row>
    <row r="18" spans="1:13" s="6" customFormat="1" ht="14.25" customHeight="1" x14ac:dyDescent="0.2">
      <c r="A18" s="140"/>
      <c r="B18" s="138"/>
      <c r="C18" s="146"/>
      <c r="D18" s="3" t="s">
        <v>10</v>
      </c>
      <c r="E18" s="7">
        <f t="shared" ref="E18:E58" si="0">SUM(F18:H18)</f>
        <v>1160100</v>
      </c>
      <c r="F18" s="7">
        <f t="shared" ref="F18:H19" si="1">F21+F30+F48+F54</f>
        <v>625000</v>
      </c>
      <c r="G18" s="7">
        <f t="shared" si="1"/>
        <v>535100</v>
      </c>
      <c r="H18" s="7">
        <f t="shared" si="1"/>
        <v>0</v>
      </c>
      <c r="I18" s="133"/>
      <c r="J18" s="130"/>
      <c r="K18" s="130"/>
      <c r="L18" s="130"/>
      <c r="M18" s="115"/>
    </row>
    <row r="19" spans="1:13" s="6" customFormat="1" ht="14.25" customHeight="1" collapsed="1" x14ac:dyDescent="0.2">
      <c r="A19" s="141"/>
      <c r="B19" s="139"/>
      <c r="C19" s="146"/>
      <c r="D19" s="3" t="s">
        <v>11</v>
      </c>
      <c r="E19" s="7">
        <f t="shared" si="0"/>
        <v>10302037</v>
      </c>
      <c r="F19" s="7">
        <f t="shared" si="1"/>
        <v>4646197</v>
      </c>
      <c r="G19" s="7">
        <f t="shared" si="1"/>
        <v>2880830</v>
      </c>
      <c r="H19" s="7">
        <f t="shared" si="1"/>
        <v>2775010</v>
      </c>
      <c r="I19" s="134"/>
      <c r="J19" s="131"/>
      <c r="K19" s="131"/>
      <c r="L19" s="131"/>
      <c r="M19" s="116"/>
    </row>
    <row r="20" spans="1:13" s="6" customFormat="1" ht="14.25" hidden="1" customHeight="1" outlineLevel="1" x14ac:dyDescent="0.2">
      <c r="A20" s="117" t="s">
        <v>104</v>
      </c>
      <c r="B20" s="120" t="s">
        <v>61</v>
      </c>
      <c r="C20" s="123"/>
      <c r="D20" s="3" t="s">
        <v>6</v>
      </c>
      <c r="E20" s="7">
        <f>SUM(F20:H20)</f>
        <v>3036525</v>
      </c>
      <c r="F20" s="7">
        <f>SUM(F21:F22)</f>
        <v>1256095</v>
      </c>
      <c r="G20" s="7">
        <f>SUM(G21:G22)</f>
        <v>785830</v>
      </c>
      <c r="H20" s="7">
        <f>SUM(H21:H22)</f>
        <v>994600</v>
      </c>
      <c r="I20" s="126" t="s">
        <v>100</v>
      </c>
      <c r="J20" s="129" t="s">
        <v>9</v>
      </c>
      <c r="K20" s="129" t="s">
        <v>101</v>
      </c>
      <c r="L20" s="129" t="s">
        <v>102</v>
      </c>
      <c r="M20" s="114" t="s">
        <v>102</v>
      </c>
    </row>
    <row r="21" spans="1:13" s="6" customFormat="1" ht="14.25" hidden="1" customHeight="1" outlineLevel="1" x14ac:dyDescent="0.2">
      <c r="A21" s="118"/>
      <c r="B21" s="121"/>
      <c r="C21" s="124"/>
      <c r="D21" s="3" t="s">
        <v>10</v>
      </c>
      <c r="E21" s="7">
        <f t="shared" si="0"/>
        <v>0</v>
      </c>
      <c r="F21" s="7">
        <f t="shared" ref="F21:H22" si="2">F24+F27</f>
        <v>0</v>
      </c>
      <c r="G21" s="7">
        <f t="shared" si="2"/>
        <v>0</v>
      </c>
      <c r="H21" s="7">
        <f t="shared" si="2"/>
        <v>0</v>
      </c>
      <c r="I21" s="127"/>
      <c r="J21" s="130"/>
      <c r="K21" s="130"/>
      <c r="L21" s="130"/>
      <c r="M21" s="115"/>
    </row>
    <row r="22" spans="1:13" s="6" customFormat="1" ht="14.25" hidden="1" customHeight="1" outlineLevel="1" collapsed="1" x14ac:dyDescent="0.2">
      <c r="A22" s="119"/>
      <c r="B22" s="122"/>
      <c r="C22" s="125"/>
      <c r="D22" s="3" t="s">
        <v>11</v>
      </c>
      <c r="E22" s="7">
        <f t="shared" si="0"/>
        <v>3036525</v>
      </c>
      <c r="F22" s="7">
        <f t="shared" si="2"/>
        <v>1256095</v>
      </c>
      <c r="G22" s="7">
        <f t="shared" si="2"/>
        <v>785830</v>
      </c>
      <c r="H22" s="7">
        <f t="shared" si="2"/>
        <v>994600</v>
      </c>
      <c r="I22" s="128"/>
      <c r="J22" s="131"/>
      <c r="K22" s="131"/>
      <c r="L22" s="131"/>
      <c r="M22" s="116"/>
    </row>
    <row r="23" spans="1:13" ht="25.5" hidden="1" customHeight="1" outlineLevel="2" x14ac:dyDescent="0.25">
      <c r="A23" s="135" t="s">
        <v>48</v>
      </c>
      <c r="B23" s="163" t="s">
        <v>12</v>
      </c>
      <c r="C23" s="145" t="s">
        <v>75</v>
      </c>
      <c r="D23" s="3" t="s">
        <v>6</v>
      </c>
      <c r="E23" s="7">
        <f>SUM(F23:H23)</f>
        <v>480000</v>
      </c>
      <c r="F23" s="7">
        <f>SUM(F24:F25)</f>
        <v>200000</v>
      </c>
      <c r="G23" s="7">
        <f>SUM(G24:G25)</f>
        <v>100000</v>
      </c>
      <c r="H23" s="19">
        <v>180000</v>
      </c>
      <c r="I23" s="132" t="s">
        <v>13</v>
      </c>
      <c r="J23" s="129" t="s">
        <v>9</v>
      </c>
      <c r="K23" s="129">
        <v>100</v>
      </c>
      <c r="L23" s="129">
        <v>100</v>
      </c>
      <c r="M23" s="129">
        <v>100</v>
      </c>
    </row>
    <row r="24" spans="1:13" ht="25.5" hidden="1" customHeight="1" outlineLevel="2" x14ac:dyDescent="0.25">
      <c r="A24" s="136"/>
      <c r="B24" s="163"/>
      <c r="C24" s="145"/>
      <c r="D24" s="4" t="s">
        <v>10</v>
      </c>
      <c r="E24" s="5">
        <f t="shared" si="0"/>
        <v>0</v>
      </c>
      <c r="F24" s="5">
        <v>0</v>
      </c>
      <c r="G24" s="5">
        <v>0</v>
      </c>
      <c r="H24" s="5">
        <v>0</v>
      </c>
      <c r="I24" s="133"/>
      <c r="J24" s="130"/>
      <c r="K24" s="130"/>
      <c r="L24" s="130"/>
      <c r="M24" s="130"/>
    </row>
    <row r="25" spans="1:13" ht="25.5" hidden="1" customHeight="1" outlineLevel="2" x14ac:dyDescent="0.25">
      <c r="A25" s="137"/>
      <c r="B25" s="163"/>
      <c r="C25" s="145"/>
      <c r="D25" s="4" t="s">
        <v>11</v>
      </c>
      <c r="E25" s="5">
        <f t="shared" si="0"/>
        <v>480000</v>
      </c>
      <c r="F25" s="5">
        <v>200000</v>
      </c>
      <c r="G25" s="5">
        <v>100000</v>
      </c>
      <c r="H25" s="18">
        <v>180000</v>
      </c>
      <c r="I25" s="134"/>
      <c r="J25" s="131"/>
      <c r="K25" s="131"/>
      <c r="L25" s="131"/>
      <c r="M25" s="131"/>
    </row>
    <row r="26" spans="1:13" ht="30" hidden="1" customHeight="1" outlineLevel="2" x14ac:dyDescent="0.25">
      <c r="A26" s="135" t="s">
        <v>49</v>
      </c>
      <c r="B26" s="163" t="s">
        <v>14</v>
      </c>
      <c r="C26" s="145" t="s">
        <v>75</v>
      </c>
      <c r="D26" s="3" t="s">
        <v>6</v>
      </c>
      <c r="E26" s="7">
        <f>SUM(F26:H26)</f>
        <v>2556525</v>
      </c>
      <c r="F26" s="7">
        <f>SUM(F27:F28)</f>
        <v>1056095</v>
      </c>
      <c r="G26" s="7">
        <f>SUM(G27:G28)</f>
        <v>685830</v>
      </c>
      <c r="H26" s="7">
        <v>814600</v>
      </c>
      <c r="I26" s="132" t="s">
        <v>16</v>
      </c>
      <c r="J26" s="129" t="s">
        <v>77</v>
      </c>
      <c r="K26" s="129">
        <v>12</v>
      </c>
      <c r="L26" s="129">
        <v>16</v>
      </c>
      <c r="M26" s="129">
        <v>18</v>
      </c>
    </row>
    <row r="27" spans="1:13" ht="30" hidden="1" customHeight="1" outlineLevel="2" x14ac:dyDescent="0.25">
      <c r="A27" s="136"/>
      <c r="B27" s="163"/>
      <c r="C27" s="145"/>
      <c r="D27" s="4" t="s">
        <v>10</v>
      </c>
      <c r="E27" s="5">
        <f t="shared" si="0"/>
        <v>0</v>
      </c>
      <c r="F27" s="5">
        <v>0</v>
      </c>
      <c r="G27" s="5">
        <v>0</v>
      </c>
      <c r="H27" s="5">
        <v>0</v>
      </c>
      <c r="I27" s="133"/>
      <c r="J27" s="130"/>
      <c r="K27" s="130"/>
      <c r="L27" s="130"/>
      <c r="M27" s="130"/>
    </row>
    <row r="28" spans="1:13" ht="30" hidden="1" customHeight="1" outlineLevel="2" x14ac:dyDescent="0.25">
      <c r="A28" s="137"/>
      <c r="B28" s="163"/>
      <c r="C28" s="145"/>
      <c r="D28" s="4" t="s">
        <v>11</v>
      </c>
      <c r="E28" s="5">
        <f t="shared" si="0"/>
        <v>2556525</v>
      </c>
      <c r="F28" s="5">
        <v>1056095</v>
      </c>
      <c r="G28" s="5">
        <f>667330+18500</f>
        <v>685830</v>
      </c>
      <c r="H28" s="58">
        <f>620000+183600+11000</f>
        <v>814600</v>
      </c>
      <c r="I28" s="134"/>
      <c r="J28" s="131"/>
      <c r="K28" s="131"/>
      <c r="L28" s="131"/>
      <c r="M28" s="131"/>
    </row>
    <row r="29" spans="1:13" s="6" customFormat="1" ht="15" hidden="1" customHeight="1" outlineLevel="1" x14ac:dyDescent="0.2">
      <c r="A29" s="117" t="s">
        <v>50</v>
      </c>
      <c r="B29" s="164" t="s">
        <v>17</v>
      </c>
      <c r="C29" s="146"/>
      <c r="D29" s="3" t="s">
        <v>6</v>
      </c>
      <c r="E29" s="7">
        <f>SUM(F29:H29)</f>
        <v>4710512</v>
      </c>
      <c r="F29" s="7">
        <f>SUM(F30:F31)</f>
        <v>3495102</v>
      </c>
      <c r="G29" s="7">
        <f>SUM(G30:G31)</f>
        <v>195000</v>
      </c>
      <c r="H29" s="7">
        <f>SUM(H30:H31)</f>
        <v>1020410</v>
      </c>
      <c r="I29" s="132" t="s">
        <v>100</v>
      </c>
      <c r="J29" s="129" t="s">
        <v>9</v>
      </c>
      <c r="K29" s="129" t="s">
        <v>101</v>
      </c>
      <c r="L29" s="129" t="s">
        <v>102</v>
      </c>
      <c r="M29" s="129" t="s">
        <v>102</v>
      </c>
    </row>
    <row r="30" spans="1:13" s="6" customFormat="1" ht="15" hidden="1" customHeight="1" outlineLevel="1" x14ac:dyDescent="0.2">
      <c r="A30" s="140"/>
      <c r="B30" s="164"/>
      <c r="C30" s="146"/>
      <c r="D30" s="3" t="s">
        <v>10</v>
      </c>
      <c r="E30" s="7">
        <f t="shared" si="0"/>
        <v>625000</v>
      </c>
      <c r="F30" s="7">
        <f t="shared" ref="F30:H31" si="3">F33+F36+F39+F42</f>
        <v>625000</v>
      </c>
      <c r="G30" s="7">
        <f t="shared" si="3"/>
        <v>0</v>
      </c>
      <c r="H30" s="7">
        <f t="shared" si="3"/>
        <v>0</v>
      </c>
      <c r="I30" s="133"/>
      <c r="J30" s="130"/>
      <c r="K30" s="130"/>
      <c r="L30" s="130"/>
      <c r="M30" s="130"/>
    </row>
    <row r="31" spans="1:13" s="6" customFormat="1" ht="15" hidden="1" customHeight="1" outlineLevel="1" collapsed="1" x14ac:dyDescent="0.2">
      <c r="A31" s="141"/>
      <c r="B31" s="164"/>
      <c r="C31" s="146"/>
      <c r="D31" s="3" t="s">
        <v>11</v>
      </c>
      <c r="E31" s="7">
        <f t="shared" si="0"/>
        <v>4085512</v>
      </c>
      <c r="F31" s="7">
        <f t="shared" si="3"/>
        <v>2870102</v>
      </c>
      <c r="G31" s="7">
        <f t="shared" si="3"/>
        <v>195000</v>
      </c>
      <c r="H31" s="7">
        <f>H34+H37+H40+H43+H44</f>
        <v>1020410</v>
      </c>
      <c r="I31" s="134"/>
      <c r="J31" s="131"/>
      <c r="K31" s="131"/>
      <c r="L31" s="131"/>
      <c r="M31" s="131"/>
    </row>
    <row r="32" spans="1:13" ht="14.25" hidden="1" customHeight="1" outlineLevel="2" x14ac:dyDescent="0.25">
      <c r="A32" s="135" t="s">
        <v>52</v>
      </c>
      <c r="B32" s="163" t="s">
        <v>19</v>
      </c>
      <c r="C32" s="145" t="s">
        <v>15</v>
      </c>
      <c r="D32" s="3" t="s">
        <v>6</v>
      </c>
      <c r="E32" s="7">
        <f>SUM(F32:H32)</f>
        <v>212600</v>
      </c>
      <c r="F32" s="7">
        <f>SUM(F33:F34)</f>
        <v>212600</v>
      </c>
      <c r="G32" s="7">
        <f>SUM(G33:G34)</f>
        <v>0</v>
      </c>
      <c r="H32" s="7">
        <f>SUM(H33:H34)</f>
        <v>0</v>
      </c>
      <c r="I32" s="132" t="s">
        <v>20</v>
      </c>
      <c r="J32" s="129" t="s">
        <v>9</v>
      </c>
      <c r="K32" s="129">
        <v>100</v>
      </c>
      <c r="L32" s="129">
        <v>100</v>
      </c>
      <c r="M32" s="129">
        <v>100</v>
      </c>
    </row>
    <row r="33" spans="1:13" ht="14.25" hidden="1" customHeight="1" outlineLevel="2" x14ac:dyDescent="0.25">
      <c r="A33" s="136"/>
      <c r="B33" s="163"/>
      <c r="C33" s="145"/>
      <c r="D33" s="4" t="s">
        <v>10</v>
      </c>
      <c r="E33" s="5">
        <f t="shared" si="0"/>
        <v>0</v>
      </c>
      <c r="F33" s="5">
        <v>0</v>
      </c>
      <c r="G33" s="5">
        <v>0</v>
      </c>
      <c r="H33" s="5">
        <v>0</v>
      </c>
      <c r="I33" s="133"/>
      <c r="J33" s="130"/>
      <c r="K33" s="130"/>
      <c r="L33" s="130"/>
      <c r="M33" s="130"/>
    </row>
    <row r="34" spans="1:13" ht="14.25" hidden="1" customHeight="1" outlineLevel="2" x14ac:dyDescent="0.25">
      <c r="A34" s="137"/>
      <c r="B34" s="163"/>
      <c r="C34" s="145"/>
      <c r="D34" s="4" t="s">
        <v>11</v>
      </c>
      <c r="E34" s="5">
        <f t="shared" si="0"/>
        <v>212600</v>
      </c>
      <c r="F34" s="5">
        <v>212600</v>
      </c>
      <c r="G34" s="5">
        <v>0</v>
      </c>
      <c r="H34" s="5">
        <v>0</v>
      </c>
      <c r="I34" s="134"/>
      <c r="J34" s="131"/>
      <c r="K34" s="131"/>
      <c r="L34" s="131"/>
      <c r="M34" s="131"/>
    </row>
    <row r="35" spans="1:13" ht="18" hidden="1" customHeight="1" outlineLevel="2" x14ac:dyDescent="0.25">
      <c r="A35" s="135" t="s">
        <v>53</v>
      </c>
      <c r="B35" s="163" t="s">
        <v>51</v>
      </c>
      <c r="C35" s="145" t="s">
        <v>76</v>
      </c>
      <c r="D35" s="3" t="s">
        <v>6</v>
      </c>
      <c r="E35" s="7">
        <f>SUM(F35:H35)</f>
        <v>575000</v>
      </c>
      <c r="F35" s="7">
        <f>SUM(F36:F37)</f>
        <v>180000</v>
      </c>
      <c r="G35" s="7">
        <f>SUM(G36:G37)</f>
        <v>195000</v>
      </c>
      <c r="H35" s="7">
        <v>200000</v>
      </c>
      <c r="I35" s="132" t="s">
        <v>18</v>
      </c>
      <c r="J35" s="129" t="s">
        <v>9</v>
      </c>
      <c r="K35" s="129">
        <v>100</v>
      </c>
      <c r="L35" s="129">
        <v>100</v>
      </c>
      <c r="M35" s="129">
        <v>100</v>
      </c>
    </row>
    <row r="36" spans="1:13" ht="18" hidden="1" customHeight="1" outlineLevel="2" x14ac:dyDescent="0.25">
      <c r="A36" s="136"/>
      <c r="B36" s="163"/>
      <c r="C36" s="145"/>
      <c r="D36" s="4" t="s">
        <v>10</v>
      </c>
      <c r="E36" s="5">
        <f t="shared" si="0"/>
        <v>0</v>
      </c>
      <c r="F36" s="5">
        <v>0</v>
      </c>
      <c r="G36" s="5">
        <v>0</v>
      </c>
      <c r="H36" s="5">
        <v>0</v>
      </c>
      <c r="I36" s="133"/>
      <c r="J36" s="130"/>
      <c r="K36" s="130"/>
      <c r="L36" s="130"/>
      <c r="M36" s="130"/>
    </row>
    <row r="37" spans="1:13" ht="18" hidden="1" customHeight="1" outlineLevel="2" x14ac:dyDescent="0.25">
      <c r="A37" s="137"/>
      <c r="B37" s="163"/>
      <c r="C37" s="145"/>
      <c r="D37" s="4" t="s">
        <v>11</v>
      </c>
      <c r="E37" s="5">
        <f t="shared" si="0"/>
        <v>575000</v>
      </c>
      <c r="F37" s="5">
        <v>180000</v>
      </c>
      <c r="G37" s="5">
        <v>195000</v>
      </c>
      <c r="H37" s="5">
        <v>200000</v>
      </c>
      <c r="I37" s="134"/>
      <c r="J37" s="131"/>
      <c r="K37" s="131"/>
      <c r="L37" s="131"/>
      <c r="M37" s="131"/>
    </row>
    <row r="38" spans="1:13" ht="21" hidden="1" customHeight="1" outlineLevel="2" x14ac:dyDescent="0.25">
      <c r="A38" s="135" t="s">
        <v>54</v>
      </c>
      <c r="B38" s="163" t="s">
        <v>62</v>
      </c>
      <c r="C38" s="145" t="s">
        <v>103</v>
      </c>
      <c r="D38" s="3" t="s">
        <v>6</v>
      </c>
      <c r="E38" s="7">
        <f>SUM(F38:H38)</f>
        <v>2968492</v>
      </c>
      <c r="F38" s="7">
        <f>SUM(F39:F40)</f>
        <v>2652502</v>
      </c>
      <c r="G38" s="7">
        <f>SUM(G39:G40)</f>
        <v>0</v>
      </c>
      <c r="H38" s="7">
        <v>315990</v>
      </c>
      <c r="I38" s="132" t="s">
        <v>95</v>
      </c>
      <c r="J38" s="129" t="s">
        <v>9</v>
      </c>
      <c r="K38" s="129">
        <v>100</v>
      </c>
      <c r="L38" s="129">
        <v>100</v>
      </c>
      <c r="M38" s="129">
        <v>100</v>
      </c>
    </row>
    <row r="39" spans="1:13" ht="21" hidden="1" customHeight="1" outlineLevel="2" x14ac:dyDescent="0.25">
      <c r="A39" s="136"/>
      <c r="B39" s="163"/>
      <c r="C39" s="145"/>
      <c r="D39" s="4" t="s">
        <v>10</v>
      </c>
      <c r="E39" s="5">
        <f t="shared" si="0"/>
        <v>625000</v>
      </c>
      <c r="F39" s="5">
        <f>625000</f>
        <v>625000</v>
      </c>
      <c r="G39" s="5">
        <v>0</v>
      </c>
      <c r="H39" s="5">
        <v>0</v>
      </c>
      <c r="I39" s="133"/>
      <c r="J39" s="130"/>
      <c r="K39" s="130"/>
      <c r="L39" s="130"/>
      <c r="M39" s="130"/>
    </row>
    <row r="40" spans="1:13" ht="21" hidden="1" customHeight="1" outlineLevel="2" x14ac:dyDescent="0.25">
      <c r="A40" s="137"/>
      <c r="B40" s="163"/>
      <c r="C40" s="145"/>
      <c r="D40" s="4" t="s">
        <v>11</v>
      </c>
      <c r="E40" s="5">
        <f t="shared" si="0"/>
        <v>2343492</v>
      </c>
      <c r="F40" s="5">
        <v>2027502</v>
      </c>
      <c r="G40" s="5">
        <v>0</v>
      </c>
      <c r="H40" s="5">
        <v>315990</v>
      </c>
      <c r="I40" s="134"/>
      <c r="J40" s="131"/>
      <c r="K40" s="131"/>
      <c r="L40" s="131"/>
      <c r="M40" s="131"/>
    </row>
    <row r="41" spans="1:13" ht="21" hidden="1" customHeight="1" outlineLevel="2" x14ac:dyDescent="0.25">
      <c r="A41" s="135" t="s">
        <v>55</v>
      </c>
      <c r="B41" s="163" t="s">
        <v>63</v>
      </c>
      <c r="C41" s="145" t="s">
        <v>75</v>
      </c>
      <c r="D41" s="3" t="s">
        <v>6</v>
      </c>
      <c r="E41" s="7">
        <f>SUM(F41:H41)</f>
        <v>735000</v>
      </c>
      <c r="F41" s="7">
        <f>SUM(F42:F43)</f>
        <v>450000</v>
      </c>
      <c r="G41" s="7">
        <f>SUM(G42:G43)</f>
        <v>0</v>
      </c>
      <c r="H41" s="7">
        <v>285000</v>
      </c>
      <c r="I41" s="132" t="s">
        <v>95</v>
      </c>
      <c r="J41" s="129" t="s">
        <v>9</v>
      </c>
      <c r="K41" s="129">
        <v>100</v>
      </c>
      <c r="L41" s="129">
        <v>100</v>
      </c>
      <c r="M41" s="129">
        <v>100</v>
      </c>
    </row>
    <row r="42" spans="1:13" ht="21" hidden="1" customHeight="1" outlineLevel="2" x14ac:dyDescent="0.25">
      <c r="A42" s="136"/>
      <c r="B42" s="163"/>
      <c r="C42" s="145"/>
      <c r="D42" s="4" t="s">
        <v>10</v>
      </c>
      <c r="E42" s="5">
        <f t="shared" si="0"/>
        <v>0</v>
      </c>
      <c r="F42" s="5">
        <v>0</v>
      </c>
      <c r="G42" s="5">
        <v>0</v>
      </c>
      <c r="H42" s="5">
        <v>0</v>
      </c>
      <c r="I42" s="133"/>
      <c r="J42" s="130"/>
      <c r="K42" s="130"/>
      <c r="L42" s="130"/>
      <c r="M42" s="130"/>
    </row>
    <row r="43" spans="1:13" ht="21" hidden="1" customHeight="1" outlineLevel="2" x14ac:dyDescent="0.25">
      <c r="A43" s="137"/>
      <c r="B43" s="163"/>
      <c r="C43" s="145"/>
      <c r="D43" s="4" t="s">
        <v>11</v>
      </c>
      <c r="E43" s="5">
        <f t="shared" si="0"/>
        <v>735000</v>
      </c>
      <c r="F43" s="5">
        <v>450000</v>
      </c>
      <c r="G43" s="5">
        <v>0</v>
      </c>
      <c r="H43" s="5">
        <v>285000</v>
      </c>
      <c r="I43" s="134"/>
      <c r="J43" s="131"/>
      <c r="K43" s="131"/>
      <c r="L43" s="131"/>
      <c r="M43" s="131"/>
    </row>
    <row r="44" spans="1:13" ht="21" hidden="1" customHeight="1" outlineLevel="2" x14ac:dyDescent="0.25">
      <c r="A44" s="135"/>
      <c r="B44" s="129" t="s">
        <v>250</v>
      </c>
      <c r="C44" s="4"/>
      <c r="D44" s="4"/>
      <c r="E44" s="5">
        <v>219420</v>
      </c>
      <c r="F44" s="5"/>
      <c r="G44" s="5"/>
      <c r="H44" s="5">
        <v>219420</v>
      </c>
      <c r="I44" s="129"/>
      <c r="J44" s="129"/>
      <c r="K44" s="129"/>
      <c r="L44" s="80"/>
      <c r="M44" s="80"/>
    </row>
    <row r="45" spans="1:13" ht="21" hidden="1" customHeight="1" outlineLevel="2" x14ac:dyDescent="0.25">
      <c r="A45" s="136"/>
      <c r="B45" s="130"/>
      <c r="C45" s="4"/>
      <c r="D45" s="4"/>
      <c r="E45" s="5"/>
      <c r="F45" s="5"/>
      <c r="G45" s="5"/>
      <c r="H45" s="5"/>
      <c r="I45" s="130"/>
      <c r="J45" s="130"/>
      <c r="K45" s="130"/>
      <c r="L45" s="80"/>
      <c r="M45" s="80"/>
    </row>
    <row r="46" spans="1:13" ht="21" hidden="1" customHeight="1" outlineLevel="2" x14ac:dyDescent="0.25">
      <c r="A46" s="137"/>
      <c r="B46" s="131"/>
      <c r="C46" s="4"/>
      <c r="D46" s="4"/>
      <c r="E46" s="5">
        <v>219420</v>
      </c>
      <c r="F46" s="5"/>
      <c r="G46" s="5"/>
      <c r="H46" s="5">
        <v>219420</v>
      </c>
      <c r="I46" s="131"/>
      <c r="J46" s="131"/>
      <c r="K46" s="131"/>
      <c r="L46" s="80"/>
      <c r="M46" s="80"/>
    </row>
    <row r="47" spans="1:13" s="6" customFormat="1" ht="13.5" hidden="1" customHeight="1" outlineLevel="1" collapsed="1" x14ac:dyDescent="0.2">
      <c r="A47" s="117" t="s">
        <v>56</v>
      </c>
      <c r="B47" s="164" t="s">
        <v>21</v>
      </c>
      <c r="C47" s="146"/>
      <c r="D47" s="3" t="s">
        <v>6</v>
      </c>
      <c r="E47" s="7">
        <f>SUM(F47:H47)</f>
        <v>2480000</v>
      </c>
      <c r="F47" s="7">
        <f>SUM(F48:F49)</f>
        <v>520000</v>
      </c>
      <c r="G47" s="7">
        <f>SUM(G48:G49)</f>
        <v>1600000</v>
      </c>
      <c r="H47" s="7">
        <f>SUM(H48:H49)</f>
        <v>360000</v>
      </c>
      <c r="I47" s="132" t="s">
        <v>100</v>
      </c>
      <c r="J47" s="129" t="s">
        <v>9</v>
      </c>
      <c r="K47" s="129" t="s">
        <v>101</v>
      </c>
      <c r="L47" s="129" t="s">
        <v>102</v>
      </c>
      <c r="M47" s="129" t="s">
        <v>102</v>
      </c>
    </row>
    <row r="48" spans="1:13" s="6" customFormat="1" ht="13.5" hidden="1" customHeight="1" outlineLevel="1" x14ac:dyDescent="0.2">
      <c r="A48" s="140"/>
      <c r="B48" s="164"/>
      <c r="C48" s="146"/>
      <c r="D48" s="3" t="s">
        <v>10</v>
      </c>
      <c r="E48" s="5">
        <f t="shared" si="0"/>
        <v>0</v>
      </c>
      <c r="F48" s="5">
        <f t="shared" ref="F48:H49" si="4">F51</f>
        <v>0</v>
      </c>
      <c r="G48" s="5">
        <f t="shared" si="4"/>
        <v>0</v>
      </c>
      <c r="H48" s="5">
        <f t="shared" si="4"/>
        <v>0</v>
      </c>
      <c r="I48" s="133"/>
      <c r="J48" s="130"/>
      <c r="K48" s="130"/>
      <c r="L48" s="130"/>
      <c r="M48" s="130"/>
    </row>
    <row r="49" spans="1:13" s="6" customFormat="1" ht="13.5" hidden="1" customHeight="1" outlineLevel="1" x14ac:dyDescent="0.2">
      <c r="A49" s="141"/>
      <c r="B49" s="164"/>
      <c r="C49" s="146"/>
      <c r="D49" s="3" t="s">
        <v>11</v>
      </c>
      <c r="E49" s="5">
        <f t="shared" si="0"/>
        <v>2480000</v>
      </c>
      <c r="F49" s="5">
        <f t="shared" si="4"/>
        <v>520000</v>
      </c>
      <c r="G49" s="5">
        <f t="shared" si="4"/>
        <v>1600000</v>
      </c>
      <c r="H49" s="5">
        <f t="shared" si="4"/>
        <v>360000</v>
      </c>
      <c r="I49" s="134"/>
      <c r="J49" s="131"/>
      <c r="K49" s="131"/>
      <c r="L49" s="131"/>
      <c r="M49" s="131"/>
    </row>
    <row r="50" spans="1:13" ht="21" hidden="1" customHeight="1" outlineLevel="2" x14ac:dyDescent="0.25">
      <c r="A50" s="135" t="s">
        <v>57</v>
      </c>
      <c r="B50" s="163" t="s">
        <v>21</v>
      </c>
      <c r="C50" s="145" t="s">
        <v>75</v>
      </c>
      <c r="D50" s="3" t="s">
        <v>6</v>
      </c>
      <c r="E50" s="7">
        <f>SUM(F50:H50)</f>
        <v>2480000</v>
      </c>
      <c r="F50" s="7">
        <f>SUM(F51:F52)</f>
        <v>520000</v>
      </c>
      <c r="G50" s="7">
        <f>SUM(G51:G52)</f>
        <v>1600000</v>
      </c>
      <c r="H50" s="7">
        <f>SUM(H51:H52)</f>
        <v>360000</v>
      </c>
      <c r="I50" s="132" t="s">
        <v>95</v>
      </c>
      <c r="J50" s="129" t="s">
        <v>9</v>
      </c>
      <c r="K50" s="129">
        <v>100</v>
      </c>
      <c r="L50" s="129">
        <v>100</v>
      </c>
      <c r="M50" s="129">
        <v>100</v>
      </c>
    </row>
    <row r="51" spans="1:13" ht="21" hidden="1" customHeight="1" outlineLevel="2" x14ac:dyDescent="0.25">
      <c r="A51" s="136"/>
      <c r="B51" s="163"/>
      <c r="C51" s="145"/>
      <c r="D51" s="4" t="s">
        <v>10</v>
      </c>
      <c r="E51" s="5">
        <f t="shared" si="0"/>
        <v>0</v>
      </c>
      <c r="F51" s="5">
        <v>0</v>
      </c>
      <c r="G51" s="5">
        <v>0</v>
      </c>
      <c r="H51" s="5">
        <v>0</v>
      </c>
      <c r="I51" s="133"/>
      <c r="J51" s="130"/>
      <c r="K51" s="130"/>
      <c r="L51" s="130"/>
      <c r="M51" s="130"/>
    </row>
    <row r="52" spans="1:13" ht="21" hidden="1" customHeight="1" outlineLevel="2" x14ac:dyDescent="0.25">
      <c r="A52" s="137"/>
      <c r="B52" s="163"/>
      <c r="C52" s="145"/>
      <c r="D52" s="4" t="s">
        <v>11</v>
      </c>
      <c r="E52" s="5">
        <f t="shared" si="0"/>
        <v>2480000</v>
      </c>
      <c r="F52" s="5">
        <v>520000</v>
      </c>
      <c r="G52" s="5">
        <v>1600000</v>
      </c>
      <c r="H52" s="58">
        <f>300000+60000</f>
        <v>360000</v>
      </c>
      <c r="I52" s="134"/>
      <c r="J52" s="131"/>
      <c r="K52" s="131"/>
      <c r="L52" s="131"/>
      <c r="M52" s="131"/>
    </row>
    <row r="53" spans="1:13" s="6" customFormat="1" ht="29.25" hidden="1" customHeight="1" outlineLevel="1" collapsed="1" x14ac:dyDescent="0.2">
      <c r="A53" s="117" t="s">
        <v>58</v>
      </c>
      <c r="B53" s="164" t="s">
        <v>22</v>
      </c>
      <c r="C53" s="146"/>
      <c r="D53" s="3" t="s">
        <v>6</v>
      </c>
      <c r="E53" s="7">
        <f>SUM(F53:H53)</f>
        <v>1235100</v>
      </c>
      <c r="F53" s="7">
        <f>SUM(F54:F55)</f>
        <v>0</v>
      </c>
      <c r="G53" s="7">
        <f>SUM(G54:G55)</f>
        <v>835100</v>
      </c>
      <c r="H53" s="7">
        <f>SUM(H54:H55)</f>
        <v>400000</v>
      </c>
      <c r="I53" s="132" t="s">
        <v>100</v>
      </c>
      <c r="J53" s="129" t="s">
        <v>9</v>
      </c>
      <c r="K53" s="129" t="s">
        <v>101</v>
      </c>
      <c r="L53" s="129" t="s">
        <v>102</v>
      </c>
      <c r="M53" s="129" t="s">
        <v>102</v>
      </c>
    </row>
    <row r="54" spans="1:13" s="6" customFormat="1" ht="29.25" hidden="1" customHeight="1" outlineLevel="1" x14ac:dyDescent="0.2">
      <c r="A54" s="140"/>
      <c r="B54" s="164"/>
      <c r="C54" s="146"/>
      <c r="D54" s="3" t="s">
        <v>10</v>
      </c>
      <c r="E54" s="5">
        <f t="shared" si="0"/>
        <v>535100</v>
      </c>
      <c r="F54" s="5">
        <f t="shared" ref="F54:H55" si="5">F57</f>
        <v>0</v>
      </c>
      <c r="G54" s="5">
        <f t="shared" si="5"/>
        <v>535100</v>
      </c>
      <c r="H54" s="5">
        <f t="shared" si="5"/>
        <v>0</v>
      </c>
      <c r="I54" s="133"/>
      <c r="J54" s="130"/>
      <c r="K54" s="130"/>
      <c r="L54" s="130"/>
      <c r="M54" s="130"/>
    </row>
    <row r="55" spans="1:13" s="6" customFormat="1" ht="24.75" hidden="1" customHeight="1" outlineLevel="1" collapsed="1" x14ac:dyDescent="0.2">
      <c r="A55" s="141"/>
      <c r="B55" s="164"/>
      <c r="C55" s="146"/>
      <c r="D55" s="3" t="s">
        <v>11</v>
      </c>
      <c r="E55" s="5">
        <f t="shared" si="0"/>
        <v>700000</v>
      </c>
      <c r="F55" s="5">
        <f t="shared" si="5"/>
        <v>0</v>
      </c>
      <c r="G55" s="5">
        <f t="shared" si="5"/>
        <v>300000</v>
      </c>
      <c r="H55" s="5">
        <f t="shared" si="5"/>
        <v>400000</v>
      </c>
      <c r="I55" s="134"/>
      <c r="J55" s="131"/>
      <c r="K55" s="131"/>
      <c r="L55" s="131"/>
      <c r="M55" s="131"/>
    </row>
    <row r="56" spans="1:13" ht="21.75" hidden="1" customHeight="1" outlineLevel="2" x14ac:dyDescent="0.25">
      <c r="A56" s="135" t="s">
        <v>59</v>
      </c>
      <c r="B56" s="163" t="s">
        <v>22</v>
      </c>
      <c r="C56" s="145" t="s">
        <v>75</v>
      </c>
      <c r="D56" s="3" t="s">
        <v>6</v>
      </c>
      <c r="E56" s="7">
        <f>SUM(F56:H56)</f>
        <v>1235100</v>
      </c>
      <c r="F56" s="7">
        <f>SUM(F57:F58)</f>
        <v>0</v>
      </c>
      <c r="G56" s="7">
        <f>SUM(G57:G58)</f>
        <v>835100</v>
      </c>
      <c r="H56" s="7">
        <v>400000</v>
      </c>
      <c r="I56" s="132" t="s">
        <v>96</v>
      </c>
      <c r="J56" s="129" t="s">
        <v>9</v>
      </c>
      <c r="K56" s="129">
        <v>0</v>
      </c>
      <c r="L56" s="129">
        <v>50</v>
      </c>
      <c r="M56" s="129">
        <v>50</v>
      </c>
    </row>
    <row r="57" spans="1:13" ht="21.75" hidden="1" customHeight="1" outlineLevel="2" x14ac:dyDescent="0.25">
      <c r="A57" s="136"/>
      <c r="B57" s="163"/>
      <c r="C57" s="145"/>
      <c r="D57" s="4" t="s">
        <v>10</v>
      </c>
      <c r="E57" s="5">
        <f t="shared" si="0"/>
        <v>535100</v>
      </c>
      <c r="F57" s="5">
        <v>0</v>
      </c>
      <c r="G57" s="5">
        <v>535100</v>
      </c>
      <c r="H57" s="5">
        <v>0</v>
      </c>
      <c r="I57" s="133"/>
      <c r="J57" s="130"/>
      <c r="K57" s="130"/>
      <c r="L57" s="130"/>
      <c r="M57" s="130"/>
    </row>
    <row r="58" spans="1:13" ht="21.75" hidden="1" customHeight="1" outlineLevel="2" x14ac:dyDescent="0.25">
      <c r="A58" s="137"/>
      <c r="B58" s="163"/>
      <c r="C58" s="145"/>
      <c r="D58" s="4" t="s">
        <v>11</v>
      </c>
      <c r="E58" s="5">
        <f t="shared" si="0"/>
        <v>700000</v>
      </c>
      <c r="F58" s="5">
        <v>0</v>
      </c>
      <c r="G58" s="5">
        <v>300000</v>
      </c>
      <c r="H58" s="5">
        <v>400000</v>
      </c>
      <c r="I58" s="134"/>
      <c r="J58" s="131"/>
      <c r="K58" s="131"/>
      <c r="L58" s="131"/>
      <c r="M58" s="131"/>
    </row>
    <row r="59" spans="1:13" s="6" customFormat="1" ht="13.5" hidden="1" customHeight="1" x14ac:dyDescent="0.2">
      <c r="A59" s="147" t="s">
        <v>60</v>
      </c>
      <c r="B59" s="147"/>
      <c r="C59" s="147"/>
      <c r="D59" s="11" t="s">
        <v>6</v>
      </c>
      <c r="E59" s="7">
        <f>SUM(F59:H59)</f>
        <v>11462137</v>
      </c>
      <c r="F59" s="7">
        <f>SUM(F60:F61)</f>
        <v>5271197</v>
      </c>
      <c r="G59" s="7">
        <f>SUM(G60:G61)</f>
        <v>3415930</v>
      </c>
      <c r="H59" s="7">
        <f>SUM(H60:H61)</f>
        <v>2775010</v>
      </c>
      <c r="I59" s="132"/>
      <c r="J59" s="129"/>
      <c r="K59" s="129"/>
      <c r="L59" s="129"/>
      <c r="M59" s="129"/>
    </row>
    <row r="60" spans="1:13" s="6" customFormat="1" ht="13.5" hidden="1" customHeight="1" x14ac:dyDescent="0.2">
      <c r="A60" s="147"/>
      <c r="B60" s="147"/>
      <c r="C60" s="147"/>
      <c r="D60" s="11" t="s">
        <v>10</v>
      </c>
      <c r="E60" s="7">
        <f>SUM(F60:H60)</f>
        <v>1160100</v>
      </c>
      <c r="F60" s="7">
        <f t="shared" ref="F60:H61" si="6">F18</f>
        <v>625000</v>
      </c>
      <c r="G60" s="7">
        <f t="shared" si="6"/>
        <v>535100</v>
      </c>
      <c r="H60" s="7">
        <f t="shared" si="6"/>
        <v>0</v>
      </c>
      <c r="I60" s="133"/>
      <c r="J60" s="130"/>
      <c r="K60" s="130"/>
      <c r="L60" s="130"/>
      <c r="M60" s="130"/>
    </row>
    <row r="61" spans="1:13" s="6" customFormat="1" ht="13.5" hidden="1" customHeight="1" x14ac:dyDescent="0.2">
      <c r="A61" s="147"/>
      <c r="B61" s="147"/>
      <c r="C61" s="147"/>
      <c r="D61" s="11" t="s">
        <v>11</v>
      </c>
      <c r="E61" s="7">
        <f>SUM(F61:H61)</f>
        <v>10302037</v>
      </c>
      <c r="F61" s="7">
        <f t="shared" si="6"/>
        <v>4646197</v>
      </c>
      <c r="G61" s="7">
        <f t="shared" si="6"/>
        <v>2880830</v>
      </c>
      <c r="H61" s="7">
        <f t="shared" si="6"/>
        <v>2775010</v>
      </c>
      <c r="I61" s="134"/>
      <c r="J61" s="131"/>
      <c r="K61" s="131"/>
      <c r="L61" s="131"/>
      <c r="M61" s="131"/>
    </row>
    <row r="62" spans="1:13" ht="15" customHeight="1" x14ac:dyDescent="0.25">
      <c r="A62" s="123" t="s">
        <v>64</v>
      </c>
      <c r="B62" s="123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0"/>
    </row>
    <row r="63" spans="1:13" s="6" customFormat="1" ht="18.75" customHeight="1" x14ac:dyDescent="0.2">
      <c r="A63" s="117" t="s">
        <v>105</v>
      </c>
      <c r="B63" s="120" t="s">
        <v>23</v>
      </c>
      <c r="C63" s="142"/>
      <c r="D63" s="3" t="s">
        <v>6</v>
      </c>
      <c r="E63" s="7">
        <f t="shared" ref="E63:E86" si="7">SUM(F63:H63)</f>
        <v>6650065</v>
      </c>
      <c r="F63" s="7">
        <f>SUM(F64:F65)</f>
        <v>806415</v>
      </c>
      <c r="G63" s="7">
        <f>SUM(G64:G65)</f>
        <v>3249400</v>
      </c>
      <c r="H63" s="7">
        <f>SUM(H64:H65)</f>
        <v>2594250</v>
      </c>
      <c r="I63" s="132" t="s">
        <v>100</v>
      </c>
      <c r="J63" s="129" t="s">
        <v>9</v>
      </c>
      <c r="K63" s="129" t="s">
        <v>101</v>
      </c>
      <c r="L63" s="129" t="s">
        <v>102</v>
      </c>
      <c r="M63" s="129" t="s">
        <v>102</v>
      </c>
    </row>
    <row r="64" spans="1:13" s="6" customFormat="1" ht="18.75" customHeight="1" x14ac:dyDescent="0.2">
      <c r="A64" s="140"/>
      <c r="B64" s="138"/>
      <c r="C64" s="143"/>
      <c r="D64" s="3" t="s">
        <v>10</v>
      </c>
      <c r="E64" s="7">
        <f t="shared" si="7"/>
        <v>1118500</v>
      </c>
      <c r="F64" s="9">
        <f t="shared" ref="F64:H65" si="8">F67+F79</f>
        <v>0</v>
      </c>
      <c r="G64" s="9">
        <f t="shared" si="8"/>
        <v>1118500</v>
      </c>
      <c r="H64" s="9">
        <f t="shared" si="8"/>
        <v>0</v>
      </c>
      <c r="I64" s="133"/>
      <c r="J64" s="130"/>
      <c r="K64" s="130"/>
      <c r="L64" s="130"/>
      <c r="M64" s="130"/>
    </row>
    <row r="65" spans="1:13" s="6" customFormat="1" ht="18.75" customHeight="1" collapsed="1" x14ac:dyDescent="0.2">
      <c r="A65" s="141"/>
      <c r="B65" s="139"/>
      <c r="C65" s="144"/>
      <c r="D65" s="3" t="s">
        <v>11</v>
      </c>
      <c r="E65" s="7">
        <f t="shared" si="7"/>
        <v>5531565</v>
      </c>
      <c r="F65" s="9">
        <f t="shared" si="8"/>
        <v>806415</v>
      </c>
      <c r="G65" s="9">
        <f t="shared" si="8"/>
        <v>2130900</v>
      </c>
      <c r="H65" s="9">
        <f>H68+H80</f>
        <v>2594250</v>
      </c>
      <c r="I65" s="134"/>
      <c r="J65" s="131"/>
      <c r="K65" s="131"/>
      <c r="L65" s="131"/>
      <c r="M65" s="131"/>
    </row>
    <row r="66" spans="1:13" ht="21" hidden="1" customHeight="1" outlineLevel="1" x14ac:dyDescent="0.25">
      <c r="A66" s="135" t="s">
        <v>106</v>
      </c>
      <c r="B66" s="132" t="s">
        <v>25</v>
      </c>
      <c r="C66" s="145" t="s">
        <v>75</v>
      </c>
      <c r="D66" s="3" t="s">
        <v>6</v>
      </c>
      <c r="E66" s="7">
        <f t="shared" si="7"/>
        <v>6070128</v>
      </c>
      <c r="F66" s="7">
        <f>SUM(F67:F68)</f>
        <v>534478</v>
      </c>
      <c r="G66" s="7">
        <f>SUM(G67:G68)</f>
        <v>3249400</v>
      </c>
      <c r="H66" s="7">
        <f>SUM(H67:H68)</f>
        <v>2286250</v>
      </c>
      <c r="I66" s="132" t="s">
        <v>24</v>
      </c>
      <c r="J66" s="129" t="s">
        <v>78</v>
      </c>
      <c r="K66" s="129">
        <v>2</v>
      </c>
      <c r="L66" s="129">
        <v>3</v>
      </c>
      <c r="M66" s="129">
        <v>4</v>
      </c>
    </row>
    <row r="67" spans="1:13" ht="21" hidden="1" customHeight="1" outlineLevel="1" x14ac:dyDescent="0.25">
      <c r="A67" s="136"/>
      <c r="B67" s="133"/>
      <c r="C67" s="145"/>
      <c r="D67" s="4" t="s">
        <v>10</v>
      </c>
      <c r="E67" s="5">
        <f t="shared" si="7"/>
        <v>1118500</v>
      </c>
      <c r="F67" s="8">
        <f>F70+F73+F76</f>
        <v>0</v>
      </c>
      <c r="G67" s="8">
        <f>G70+G73+G76</f>
        <v>1118500</v>
      </c>
      <c r="H67" s="8">
        <f>H70+H73+H76</f>
        <v>0</v>
      </c>
      <c r="I67" s="133"/>
      <c r="J67" s="130"/>
      <c r="K67" s="130"/>
      <c r="L67" s="130"/>
      <c r="M67" s="130"/>
    </row>
    <row r="68" spans="1:13" ht="21" hidden="1" customHeight="1" outlineLevel="1" x14ac:dyDescent="0.25">
      <c r="A68" s="137"/>
      <c r="B68" s="134"/>
      <c r="C68" s="145"/>
      <c r="D68" s="4" t="s">
        <v>11</v>
      </c>
      <c r="E68" s="5">
        <f t="shared" si="7"/>
        <v>4951628</v>
      </c>
      <c r="F68" s="8">
        <v>534478</v>
      </c>
      <c r="G68" s="8">
        <f>G71+G74+G77</f>
        <v>2130900</v>
      </c>
      <c r="H68" s="8">
        <f>1753810+532440</f>
        <v>2286250</v>
      </c>
      <c r="I68" s="133"/>
      <c r="J68" s="130"/>
      <c r="K68" s="130"/>
      <c r="L68" s="130"/>
      <c r="M68" s="130"/>
    </row>
    <row r="69" spans="1:13" ht="21" hidden="1" customHeight="1" outlineLevel="1" x14ac:dyDescent="0.25">
      <c r="A69" s="135" t="s">
        <v>26</v>
      </c>
      <c r="B69" s="132" t="s">
        <v>27</v>
      </c>
      <c r="C69" s="145" t="s">
        <v>75</v>
      </c>
      <c r="D69" s="3" t="s">
        <v>6</v>
      </c>
      <c r="E69" s="7">
        <f t="shared" si="7"/>
        <v>2876500</v>
      </c>
      <c r="F69" s="7">
        <f>SUM(F70:F71)</f>
        <v>0</v>
      </c>
      <c r="G69" s="7">
        <f>SUM(G70:G71)</f>
        <v>2876500</v>
      </c>
      <c r="H69" s="7">
        <v>0</v>
      </c>
      <c r="I69" s="133"/>
      <c r="J69" s="130"/>
      <c r="K69" s="130"/>
      <c r="L69" s="130"/>
      <c r="M69" s="130"/>
    </row>
    <row r="70" spans="1:13" ht="21" hidden="1" customHeight="1" outlineLevel="1" x14ac:dyDescent="0.25">
      <c r="A70" s="136"/>
      <c r="B70" s="133"/>
      <c r="C70" s="145"/>
      <c r="D70" s="4" t="s">
        <v>10</v>
      </c>
      <c r="E70" s="5">
        <f t="shared" si="7"/>
        <v>905600</v>
      </c>
      <c r="F70" s="8">
        <v>0</v>
      </c>
      <c r="G70" s="8">
        <v>905600</v>
      </c>
      <c r="H70" s="8">
        <v>0</v>
      </c>
      <c r="I70" s="133"/>
      <c r="J70" s="130"/>
      <c r="K70" s="130"/>
      <c r="L70" s="130"/>
      <c r="M70" s="130"/>
    </row>
    <row r="71" spans="1:13" ht="21" hidden="1" customHeight="1" outlineLevel="1" x14ac:dyDescent="0.25">
      <c r="A71" s="137"/>
      <c r="B71" s="134"/>
      <c r="C71" s="145"/>
      <c r="D71" s="4" t="s">
        <v>11</v>
      </c>
      <c r="E71" s="5">
        <f t="shared" si="7"/>
        <v>1970900</v>
      </c>
      <c r="F71" s="8">
        <v>0</v>
      </c>
      <c r="G71" s="8">
        <v>1970900</v>
      </c>
      <c r="H71" s="8">
        <v>0</v>
      </c>
      <c r="I71" s="133"/>
      <c r="J71" s="130"/>
      <c r="K71" s="130"/>
      <c r="L71" s="130"/>
      <c r="M71" s="130"/>
    </row>
    <row r="72" spans="1:13" ht="21" hidden="1" customHeight="1" outlineLevel="1" x14ac:dyDescent="0.25">
      <c r="A72" s="135" t="s">
        <v>28</v>
      </c>
      <c r="B72" s="132" t="s">
        <v>29</v>
      </c>
      <c r="C72" s="145" t="s">
        <v>75</v>
      </c>
      <c r="D72" s="3" t="s">
        <v>6</v>
      </c>
      <c r="E72" s="7">
        <f t="shared" si="7"/>
        <v>312900</v>
      </c>
      <c r="F72" s="7">
        <f>SUM(F73:F74)</f>
        <v>0</v>
      </c>
      <c r="G72" s="7">
        <f>SUM(G73:G74)</f>
        <v>312900</v>
      </c>
      <c r="H72" s="7">
        <v>0</v>
      </c>
      <c r="I72" s="133"/>
      <c r="J72" s="130"/>
      <c r="K72" s="130"/>
      <c r="L72" s="130"/>
      <c r="M72" s="130"/>
    </row>
    <row r="73" spans="1:13" ht="21" hidden="1" customHeight="1" outlineLevel="1" x14ac:dyDescent="0.25">
      <c r="A73" s="136"/>
      <c r="B73" s="133"/>
      <c r="C73" s="145"/>
      <c r="D73" s="4" t="s">
        <v>10</v>
      </c>
      <c r="E73" s="5">
        <f t="shared" si="7"/>
        <v>212900</v>
      </c>
      <c r="F73" s="8">
        <v>0</v>
      </c>
      <c r="G73" s="8">
        <v>212900</v>
      </c>
      <c r="H73" s="8">
        <v>0</v>
      </c>
      <c r="I73" s="133"/>
      <c r="J73" s="130"/>
      <c r="K73" s="130"/>
      <c r="L73" s="130"/>
      <c r="M73" s="130"/>
    </row>
    <row r="74" spans="1:13" ht="21" hidden="1" customHeight="1" outlineLevel="1" x14ac:dyDescent="0.25">
      <c r="A74" s="137"/>
      <c r="B74" s="134"/>
      <c r="C74" s="145"/>
      <c r="D74" s="4" t="s">
        <v>11</v>
      </c>
      <c r="E74" s="5">
        <f t="shared" si="7"/>
        <v>100000</v>
      </c>
      <c r="F74" s="8">
        <v>0</v>
      </c>
      <c r="G74" s="8">
        <v>100000</v>
      </c>
      <c r="H74" s="20">
        <v>0</v>
      </c>
      <c r="I74" s="133"/>
      <c r="J74" s="130"/>
      <c r="K74" s="130"/>
      <c r="L74" s="130"/>
      <c r="M74" s="130"/>
    </row>
    <row r="75" spans="1:13" ht="21" hidden="1" customHeight="1" outlineLevel="1" x14ac:dyDescent="0.25">
      <c r="A75" s="135" t="s">
        <v>73</v>
      </c>
      <c r="B75" s="132" t="s">
        <v>65</v>
      </c>
      <c r="C75" s="145" t="s">
        <v>75</v>
      </c>
      <c r="D75" s="3" t="s">
        <v>6</v>
      </c>
      <c r="E75" s="7">
        <f t="shared" si="7"/>
        <v>60000</v>
      </c>
      <c r="F75" s="7">
        <f>SUM(F76:F77)</f>
        <v>0</v>
      </c>
      <c r="G75" s="7">
        <f>SUM(G76:G77)</f>
        <v>60000</v>
      </c>
      <c r="H75" s="7">
        <v>0</v>
      </c>
      <c r="I75" s="133"/>
      <c r="J75" s="130"/>
      <c r="K75" s="130"/>
      <c r="L75" s="130"/>
      <c r="M75" s="130"/>
    </row>
    <row r="76" spans="1:13" ht="21" hidden="1" customHeight="1" outlineLevel="1" x14ac:dyDescent="0.25">
      <c r="A76" s="136"/>
      <c r="B76" s="133"/>
      <c r="C76" s="145"/>
      <c r="D76" s="4" t="s">
        <v>10</v>
      </c>
      <c r="E76" s="5">
        <f t="shared" si="7"/>
        <v>0</v>
      </c>
      <c r="F76" s="8">
        <v>0</v>
      </c>
      <c r="G76" s="8">
        <v>0</v>
      </c>
      <c r="H76" s="8">
        <v>0</v>
      </c>
      <c r="I76" s="133"/>
      <c r="J76" s="130"/>
      <c r="K76" s="130"/>
      <c r="L76" s="130"/>
      <c r="M76" s="130"/>
    </row>
    <row r="77" spans="1:13" ht="21" hidden="1" customHeight="1" outlineLevel="1" x14ac:dyDescent="0.25">
      <c r="A77" s="137"/>
      <c r="B77" s="134"/>
      <c r="C77" s="145"/>
      <c r="D77" s="4" t="s">
        <v>11</v>
      </c>
      <c r="E77" s="5">
        <f t="shared" si="7"/>
        <v>60000</v>
      </c>
      <c r="F77" s="8">
        <v>0</v>
      </c>
      <c r="G77" s="8">
        <v>60000</v>
      </c>
      <c r="H77" s="8">
        <v>0</v>
      </c>
      <c r="I77" s="134"/>
      <c r="J77" s="131"/>
      <c r="K77" s="131"/>
      <c r="L77" s="131"/>
      <c r="M77" s="131"/>
    </row>
    <row r="78" spans="1:13" ht="21" hidden="1" customHeight="1" outlineLevel="1" x14ac:dyDescent="0.25">
      <c r="A78" s="135" t="s">
        <v>72</v>
      </c>
      <c r="B78" s="132" t="s">
        <v>30</v>
      </c>
      <c r="C78" s="129" t="s">
        <v>75</v>
      </c>
      <c r="D78" s="3" t="s">
        <v>6</v>
      </c>
      <c r="E78" s="7">
        <v>579937</v>
      </c>
      <c r="F78" s="9">
        <v>271937</v>
      </c>
      <c r="G78" s="9">
        <v>0</v>
      </c>
      <c r="H78" s="9">
        <v>308000</v>
      </c>
      <c r="I78" s="132" t="s">
        <v>31</v>
      </c>
      <c r="J78" s="129" t="s">
        <v>9</v>
      </c>
      <c r="K78" s="129">
        <v>8.3000000000000007</v>
      </c>
      <c r="L78" s="129">
        <v>12.5</v>
      </c>
      <c r="M78" s="129">
        <v>16.600000000000001</v>
      </c>
    </row>
    <row r="79" spans="1:13" ht="21" hidden="1" customHeight="1" outlineLevel="1" x14ac:dyDescent="0.25">
      <c r="A79" s="118"/>
      <c r="B79" s="121"/>
      <c r="C79" s="118"/>
      <c r="D79" s="4" t="s">
        <v>10</v>
      </c>
      <c r="E79" s="5">
        <v>0</v>
      </c>
      <c r="F79" s="8">
        <v>0</v>
      </c>
      <c r="G79" s="8">
        <v>0</v>
      </c>
      <c r="H79" s="8">
        <v>0</v>
      </c>
      <c r="I79" s="121"/>
      <c r="J79" s="118"/>
      <c r="K79" s="118"/>
      <c r="L79" s="118"/>
      <c r="M79" s="118"/>
    </row>
    <row r="80" spans="1:13" ht="21" hidden="1" customHeight="1" outlineLevel="1" x14ac:dyDescent="0.25">
      <c r="A80" s="119"/>
      <c r="B80" s="122"/>
      <c r="C80" s="119"/>
      <c r="D80" s="4" t="s">
        <v>11</v>
      </c>
      <c r="E80" s="5">
        <v>579937</v>
      </c>
      <c r="F80" s="8">
        <v>271937</v>
      </c>
      <c r="G80" s="8">
        <v>0</v>
      </c>
      <c r="H80" s="8">
        <v>308000</v>
      </c>
      <c r="I80" s="121"/>
      <c r="J80" s="118"/>
      <c r="K80" s="118"/>
      <c r="L80" s="118"/>
      <c r="M80" s="118"/>
    </row>
    <row r="81" spans="1:13" ht="21" hidden="1" customHeight="1" outlineLevel="1" x14ac:dyDescent="0.25">
      <c r="A81" s="135" t="s">
        <v>129</v>
      </c>
      <c r="B81" s="132" t="s">
        <v>27</v>
      </c>
      <c r="C81" s="145" t="s">
        <v>75</v>
      </c>
      <c r="D81" s="3" t="s">
        <v>6</v>
      </c>
      <c r="E81" s="7">
        <f t="shared" si="7"/>
        <v>579937</v>
      </c>
      <c r="F81" s="7">
        <f>SUM(F82:F83)</f>
        <v>271937</v>
      </c>
      <c r="G81" s="7">
        <f>SUM(G82:G83)</f>
        <v>0</v>
      </c>
      <c r="H81" s="7">
        <v>308000</v>
      </c>
      <c r="I81" s="121"/>
      <c r="J81" s="118"/>
      <c r="K81" s="118"/>
      <c r="L81" s="118"/>
      <c r="M81" s="118"/>
    </row>
    <row r="82" spans="1:13" ht="21" hidden="1" customHeight="1" outlineLevel="1" x14ac:dyDescent="0.25">
      <c r="A82" s="136"/>
      <c r="B82" s="133"/>
      <c r="C82" s="145"/>
      <c r="D82" s="4" t="s">
        <v>10</v>
      </c>
      <c r="E82" s="5">
        <f t="shared" si="7"/>
        <v>0</v>
      </c>
      <c r="F82" s="8">
        <v>0</v>
      </c>
      <c r="G82" s="8">
        <v>0</v>
      </c>
      <c r="H82" s="8">
        <v>0</v>
      </c>
      <c r="I82" s="121"/>
      <c r="J82" s="118"/>
      <c r="K82" s="118"/>
      <c r="L82" s="118"/>
      <c r="M82" s="118"/>
    </row>
    <row r="83" spans="1:13" ht="21" hidden="1" customHeight="1" outlineLevel="1" x14ac:dyDescent="0.25">
      <c r="A83" s="137"/>
      <c r="B83" s="134"/>
      <c r="C83" s="145"/>
      <c r="D83" s="4" t="s">
        <v>11</v>
      </c>
      <c r="E83" s="5">
        <f t="shared" si="7"/>
        <v>579937</v>
      </c>
      <c r="F83" s="8">
        <v>271937</v>
      </c>
      <c r="G83" s="8">
        <v>0</v>
      </c>
      <c r="H83" s="8">
        <v>308000</v>
      </c>
      <c r="I83" s="122"/>
      <c r="J83" s="119"/>
      <c r="K83" s="119"/>
      <c r="L83" s="119"/>
      <c r="M83" s="119"/>
    </row>
    <row r="84" spans="1:13" s="6" customFormat="1" ht="13.5" hidden="1" customHeight="1" x14ac:dyDescent="0.2">
      <c r="A84" s="147" t="s">
        <v>71</v>
      </c>
      <c r="B84" s="147"/>
      <c r="C84" s="147"/>
      <c r="D84" s="11" t="s">
        <v>6</v>
      </c>
      <c r="E84" s="7">
        <f t="shared" si="7"/>
        <v>6650065</v>
      </c>
      <c r="F84" s="7">
        <f>SUM(F85:F86)</f>
        <v>806415</v>
      </c>
      <c r="G84" s="7">
        <f>SUM(G85:G86)</f>
        <v>3249400</v>
      </c>
      <c r="H84" s="7">
        <f>SUM(H85:H86)</f>
        <v>2594250</v>
      </c>
      <c r="I84" s="132"/>
      <c r="J84" s="129"/>
      <c r="K84" s="129"/>
      <c r="L84" s="129"/>
      <c r="M84" s="129"/>
    </row>
    <row r="85" spans="1:13" s="6" customFormat="1" ht="13.5" hidden="1" customHeight="1" x14ac:dyDescent="0.2">
      <c r="A85" s="147"/>
      <c r="B85" s="147"/>
      <c r="C85" s="147"/>
      <c r="D85" s="11" t="s">
        <v>10</v>
      </c>
      <c r="E85" s="7">
        <f t="shared" si="7"/>
        <v>1118500</v>
      </c>
      <c r="F85" s="7">
        <f t="shared" ref="F85:H86" si="9">F64</f>
        <v>0</v>
      </c>
      <c r="G85" s="7">
        <f t="shared" si="9"/>
        <v>1118500</v>
      </c>
      <c r="H85" s="7">
        <f t="shared" si="9"/>
        <v>0</v>
      </c>
      <c r="I85" s="133"/>
      <c r="J85" s="130"/>
      <c r="K85" s="130"/>
      <c r="L85" s="130"/>
      <c r="M85" s="130"/>
    </row>
    <row r="86" spans="1:13" s="6" customFormat="1" ht="13.5" hidden="1" customHeight="1" x14ac:dyDescent="0.2">
      <c r="A86" s="147"/>
      <c r="B86" s="147"/>
      <c r="C86" s="147"/>
      <c r="D86" s="11" t="s">
        <v>11</v>
      </c>
      <c r="E86" s="7">
        <f t="shared" si="7"/>
        <v>5531565</v>
      </c>
      <c r="F86" s="7">
        <f t="shared" si="9"/>
        <v>806415</v>
      </c>
      <c r="G86" s="7">
        <f t="shared" si="9"/>
        <v>2130900</v>
      </c>
      <c r="H86" s="7">
        <f t="shared" si="9"/>
        <v>2594250</v>
      </c>
      <c r="I86" s="134"/>
      <c r="J86" s="131"/>
      <c r="K86" s="131"/>
      <c r="L86" s="131"/>
      <c r="M86" s="131"/>
    </row>
    <row r="87" spans="1:13" x14ac:dyDescent="0.25">
      <c r="A87" s="123" t="s">
        <v>66</v>
      </c>
      <c r="B87" s="123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0"/>
    </row>
    <row r="88" spans="1:13" s="6" customFormat="1" ht="15" customHeight="1" x14ac:dyDescent="0.2">
      <c r="A88" s="117" t="s">
        <v>107</v>
      </c>
      <c r="B88" s="120" t="s">
        <v>32</v>
      </c>
      <c r="C88" s="142"/>
      <c r="D88" s="3" t="s">
        <v>6</v>
      </c>
      <c r="E88" s="7">
        <f t="shared" ref="E88:E141" si="10">SUM(F88:H88)</f>
        <v>55006067</v>
      </c>
      <c r="F88" s="7">
        <f>SUM(F89:F90)</f>
        <v>18846257</v>
      </c>
      <c r="G88" s="7">
        <f>SUM(G89:G90)</f>
        <v>9064430</v>
      </c>
      <c r="H88" s="7">
        <f>SUM(H89:H90)</f>
        <v>27095380</v>
      </c>
      <c r="I88" s="132" t="s">
        <v>100</v>
      </c>
      <c r="J88" s="129" t="s">
        <v>9</v>
      </c>
      <c r="K88" s="129" t="s">
        <v>101</v>
      </c>
      <c r="L88" s="129" t="s">
        <v>102</v>
      </c>
      <c r="M88" s="129" t="s">
        <v>102</v>
      </c>
    </row>
    <row r="89" spans="1:13" s="6" customFormat="1" ht="15" customHeight="1" x14ac:dyDescent="0.2">
      <c r="A89" s="140"/>
      <c r="B89" s="138"/>
      <c r="C89" s="143"/>
      <c r="D89" s="11" t="s">
        <v>10</v>
      </c>
      <c r="E89" s="7">
        <f t="shared" si="10"/>
        <v>1600000</v>
      </c>
      <c r="F89" s="9">
        <f t="shared" ref="F89:H90" si="11">F92+F95+F98+F101+F104+F107+F110+F113+F116+F119+F122+F125+F128+F131+F134+F137+F140</f>
        <v>0</v>
      </c>
      <c r="G89" s="9">
        <f t="shared" si="11"/>
        <v>1600000</v>
      </c>
      <c r="H89" s="9">
        <f t="shared" si="11"/>
        <v>0</v>
      </c>
      <c r="I89" s="133"/>
      <c r="J89" s="130"/>
      <c r="K89" s="130"/>
      <c r="L89" s="130"/>
      <c r="M89" s="130"/>
    </row>
    <row r="90" spans="1:13" s="6" customFormat="1" ht="15" customHeight="1" collapsed="1" x14ac:dyDescent="0.2">
      <c r="A90" s="141"/>
      <c r="B90" s="139"/>
      <c r="C90" s="144"/>
      <c r="D90" s="11" t="s">
        <v>11</v>
      </c>
      <c r="E90" s="7">
        <f t="shared" si="10"/>
        <v>53406067</v>
      </c>
      <c r="F90" s="9">
        <f t="shared" si="11"/>
        <v>18846257</v>
      </c>
      <c r="G90" s="9">
        <f t="shared" si="11"/>
        <v>7464430</v>
      </c>
      <c r="H90" s="9">
        <f>H93+H96+H99+H102+H105+H108+H111+H114+H117+H120+H123+H126+H129+H132+H135+H138+H141</f>
        <v>27095380</v>
      </c>
      <c r="I90" s="134"/>
      <c r="J90" s="131"/>
      <c r="K90" s="131"/>
      <c r="L90" s="131"/>
      <c r="M90" s="131"/>
    </row>
    <row r="91" spans="1:13" ht="21" hidden="1" customHeight="1" outlineLevel="1" x14ac:dyDescent="0.25">
      <c r="A91" s="135" t="s">
        <v>108</v>
      </c>
      <c r="B91" s="132" t="s">
        <v>67</v>
      </c>
      <c r="C91" s="145" t="s">
        <v>75</v>
      </c>
      <c r="D91" s="3" t="s">
        <v>6</v>
      </c>
      <c r="E91" s="7">
        <f t="shared" si="10"/>
        <v>4057079.41</v>
      </c>
      <c r="F91" s="7">
        <f>SUM(F92:F93)</f>
        <v>45000</v>
      </c>
      <c r="G91" s="7">
        <f>SUM(G92:G93)</f>
        <v>304420.49</v>
      </c>
      <c r="H91" s="7">
        <f>SUM(H92:H93)</f>
        <v>3707658.92</v>
      </c>
      <c r="I91" s="132" t="s">
        <v>82</v>
      </c>
      <c r="J91" s="129" t="s">
        <v>9</v>
      </c>
      <c r="K91" s="129">
        <v>5</v>
      </c>
      <c r="L91" s="129">
        <v>10</v>
      </c>
      <c r="M91" s="129">
        <v>30.8</v>
      </c>
    </row>
    <row r="92" spans="1:13" ht="21" hidden="1" customHeight="1" outlineLevel="1" x14ac:dyDescent="0.25">
      <c r="A92" s="136"/>
      <c r="B92" s="133"/>
      <c r="C92" s="145"/>
      <c r="D92" s="4" t="s">
        <v>10</v>
      </c>
      <c r="E92" s="5">
        <f t="shared" si="10"/>
        <v>0</v>
      </c>
      <c r="F92" s="8">
        <v>0</v>
      </c>
      <c r="G92" s="8">
        <v>0</v>
      </c>
      <c r="H92" s="12">
        <v>0</v>
      </c>
      <c r="I92" s="133"/>
      <c r="J92" s="130"/>
      <c r="K92" s="130"/>
      <c r="L92" s="130"/>
      <c r="M92" s="130"/>
    </row>
    <row r="93" spans="1:13" ht="21" hidden="1" customHeight="1" outlineLevel="1" x14ac:dyDescent="0.25">
      <c r="A93" s="137"/>
      <c r="B93" s="134"/>
      <c r="C93" s="145"/>
      <c r="D93" s="4" t="s">
        <v>11</v>
      </c>
      <c r="E93" s="5">
        <f t="shared" si="10"/>
        <v>4057079.41</v>
      </c>
      <c r="F93" s="8">
        <v>45000</v>
      </c>
      <c r="G93" s="8">
        <f>304430-9.51</f>
        <v>304420.49</v>
      </c>
      <c r="H93" s="56">
        <v>3707658.92</v>
      </c>
      <c r="I93" s="134"/>
      <c r="J93" s="131"/>
      <c r="K93" s="131"/>
      <c r="L93" s="131"/>
      <c r="M93" s="131"/>
    </row>
    <row r="94" spans="1:13" ht="21" hidden="1" customHeight="1" outlineLevel="1" x14ac:dyDescent="0.25">
      <c r="A94" s="135" t="s">
        <v>109</v>
      </c>
      <c r="B94" s="132" t="s">
        <v>68</v>
      </c>
      <c r="C94" s="145" t="s">
        <v>75</v>
      </c>
      <c r="D94" s="3" t="s">
        <v>6</v>
      </c>
      <c r="E94" s="7">
        <f t="shared" si="10"/>
        <v>2684090.86</v>
      </c>
      <c r="F94" s="7">
        <f>SUM(F95:F96)</f>
        <v>1276987</v>
      </c>
      <c r="G94" s="7">
        <f>SUM(G95:G96)</f>
        <v>1407103.8599999999</v>
      </c>
      <c r="H94" s="57">
        <f>SUM(H95:H96)</f>
        <v>0</v>
      </c>
      <c r="I94" s="132" t="s">
        <v>79</v>
      </c>
      <c r="J94" s="129" t="s">
        <v>9</v>
      </c>
      <c r="K94" s="129">
        <v>95</v>
      </c>
      <c r="L94" s="129">
        <v>98</v>
      </c>
      <c r="M94" s="129">
        <v>98</v>
      </c>
    </row>
    <row r="95" spans="1:13" ht="21" hidden="1" customHeight="1" outlineLevel="1" x14ac:dyDescent="0.25">
      <c r="A95" s="136"/>
      <c r="B95" s="133"/>
      <c r="C95" s="145"/>
      <c r="D95" s="4" t="s">
        <v>10</v>
      </c>
      <c r="E95" s="5">
        <f t="shared" si="10"/>
        <v>711000</v>
      </c>
      <c r="F95" s="8">
        <v>0</v>
      </c>
      <c r="G95" s="12">
        <f>0+711000</f>
        <v>711000</v>
      </c>
      <c r="H95" s="12">
        <v>0</v>
      </c>
      <c r="I95" s="133"/>
      <c r="J95" s="130"/>
      <c r="K95" s="130"/>
      <c r="L95" s="130"/>
      <c r="M95" s="130"/>
    </row>
    <row r="96" spans="1:13" ht="21" hidden="1" customHeight="1" outlineLevel="1" x14ac:dyDescent="0.25">
      <c r="A96" s="137"/>
      <c r="B96" s="134"/>
      <c r="C96" s="145"/>
      <c r="D96" s="4" t="s">
        <v>11</v>
      </c>
      <c r="E96" s="5">
        <f t="shared" si="10"/>
        <v>1973090.8599999999</v>
      </c>
      <c r="F96" s="8">
        <v>1276987</v>
      </c>
      <c r="G96" s="8">
        <f>1416620-9500-711000-16.14</f>
        <v>696103.86</v>
      </c>
      <c r="H96" s="12">
        <v>0</v>
      </c>
      <c r="I96" s="134"/>
      <c r="J96" s="131"/>
      <c r="K96" s="131"/>
      <c r="L96" s="131"/>
      <c r="M96" s="131"/>
    </row>
    <row r="97" spans="1:13" ht="21" hidden="1" customHeight="1" outlineLevel="1" x14ac:dyDescent="0.25">
      <c r="A97" s="135" t="s">
        <v>110</v>
      </c>
      <c r="B97" s="132" t="s">
        <v>33</v>
      </c>
      <c r="C97" s="145" t="s">
        <v>75</v>
      </c>
      <c r="D97" s="3" t="s">
        <v>6</v>
      </c>
      <c r="E97" s="7">
        <f t="shared" si="10"/>
        <v>797348</v>
      </c>
      <c r="F97" s="7">
        <f>SUM(F98:F99)</f>
        <v>245550</v>
      </c>
      <c r="G97" s="7">
        <f>SUM(G98:G99)</f>
        <v>0</v>
      </c>
      <c r="H97" s="57">
        <f>SUM(H98:H99)</f>
        <v>551798</v>
      </c>
      <c r="I97" s="132" t="s">
        <v>80</v>
      </c>
      <c r="J97" s="129" t="s">
        <v>9</v>
      </c>
      <c r="K97" s="129">
        <v>85</v>
      </c>
      <c r="L97" s="129">
        <v>85</v>
      </c>
      <c r="M97" s="129">
        <v>89</v>
      </c>
    </row>
    <row r="98" spans="1:13" ht="21" hidden="1" customHeight="1" outlineLevel="1" x14ac:dyDescent="0.25">
      <c r="A98" s="136"/>
      <c r="B98" s="133"/>
      <c r="C98" s="145"/>
      <c r="D98" s="4" t="s">
        <v>10</v>
      </c>
      <c r="E98" s="5">
        <f t="shared" si="10"/>
        <v>0</v>
      </c>
      <c r="F98" s="8">
        <v>0</v>
      </c>
      <c r="G98" s="8">
        <v>0</v>
      </c>
      <c r="H98" s="12">
        <v>0</v>
      </c>
      <c r="I98" s="133"/>
      <c r="J98" s="130"/>
      <c r="K98" s="130"/>
      <c r="L98" s="130"/>
      <c r="M98" s="130"/>
    </row>
    <row r="99" spans="1:13" ht="21" hidden="1" customHeight="1" outlineLevel="1" x14ac:dyDescent="0.25">
      <c r="A99" s="137"/>
      <c r="B99" s="134"/>
      <c r="C99" s="145"/>
      <c r="D99" s="4" t="s">
        <v>11</v>
      </c>
      <c r="E99" s="5">
        <f t="shared" si="10"/>
        <v>797348</v>
      </c>
      <c r="F99" s="8">
        <v>245550</v>
      </c>
      <c r="G99" s="8">
        <v>0</v>
      </c>
      <c r="H99" s="12">
        <v>551798</v>
      </c>
      <c r="I99" s="134"/>
      <c r="J99" s="131"/>
      <c r="K99" s="131"/>
      <c r="L99" s="131"/>
      <c r="M99" s="131"/>
    </row>
    <row r="100" spans="1:13" ht="21" hidden="1" customHeight="1" outlineLevel="1" x14ac:dyDescent="0.25">
      <c r="A100" s="135" t="s">
        <v>111</v>
      </c>
      <c r="B100" s="132" t="s">
        <v>34</v>
      </c>
      <c r="C100" s="145" t="s">
        <v>75</v>
      </c>
      <c r="D100" s="3" t="s">
        <v>6</v>
      </c>
      <c r="E100" s="7">
        <f t="shared" si="10"/>
        <v>1186031</v>
      </c>
      <c r="F100" s="7">
        <f>SUM(F101:F102)</f>
        <v>749581</v>
      </c>
      <c r="G100" s="7">
        <f>SUM(G101:G102)</f>
        <v>291920</v>
      </c>
      <c r="H100" s="57">
        <f>SUM(H101:H102)</f>
        <v>144530</v>
      </c>
      <c r="I100" s="132" t="s">
        <v>81</v>
      </c>
      <c r="J100" s="129" t="s">
        <v>9</v>
      </c>
      <c r="K100" s="129">
        <v>80</v>
      </c>
      <c r="L100" s="129">
        <v>85</v>
      </c>
      <c r="M100" s="129">
        <v>89</v>
      </c>
    </row>
    <row r="101" spans="1:13" ht="21" hidden="1" customHeight="1" outlineLevel="1" x14ac:dyDescent="0.25">
      <c r="A101" s="136"/>
      <c r="B101" s="133"/>
      <c r="C101" s="145"/>
      <c r="D101" s="4" t="s">
        <v>10</v>
      </c>
      <c r="E101" s="5">
        <f t="shared" si="10"/>
        <v>0</v>
      </c>
      <c r="F101" s="8">
        <v>0</v>
      </c>
      <c r="G101" s="8">
        <v>0</v>
      </c>
      <c r="H101" s="12">
        <v>0</v>
      </c>
      <c r="I101" s="133"/>
      <c r="J101" s="130"/>
      <c r="K101" s="130"/>
      <c r="L101" s="130"/>
      <c r="M101" s="130"/>
    </row>
    <row r="102" spans="1:13" ht="21" hidden="1" customHeight="1" outlineLevel="1" x14ac:dyDescent="0.25">
      <c r="A102" s="137"/>
      <c r="B102" s="134"/>
      <c r="C102" s="145"/>
      <c r="D102" s="4" t="s">
        <v>11</v>
      </c>
      <c r="E102" s="5">
        <f t="shared" si="10"/>
        <v>1186031</v>
      </c>
      <c r="F102" s="8">
        <v>749581</v>
      </c>
      <c r="G102" s="8">
        <f>291920</f>
        <v>291920</v>
      </c>
      <c r="H102" s="12">
        <v>144530</v>
      </c>
      <c r="I102" s="134"/>
      <c r="J102" s="131"/>
      <c r="K102" s="131"/>
      <c r="L102" s="131"/>
      <c r="M102" s="131"/>
    </row>
    <row r="103" spans="1:13" ht="21" hidden="1" customHeight="1" outlineLevel="1" x14ac:dyDescent="0.25">
      <c r="A103" s="135" t="s">
        <v>112</v>
      </c>
      <c r="B103" s="132" t="s">
        <v>35</v>
      </c>
      <c r="C103" s="145" t="s">
        <v>75</v>
      </c>
      <c r="D103" s="3" t="s">
        <v>6</v>
      </c>
      <c r="E103" s="7">
        <f>SUM(F103:H103)</f>
        <v>22638376.52</v>
      </c>
      <c r="F103" s="7">
        <f>SUM(F104:F105)</f>
        <v>8431992</v>
      </c>
      <c r="G103" s="7">
        <f>SUM(G104:G105)</f>
        <v>3142177.2</v>
      </c>
      <c r="H103" s="57">
        <f>SUM(H104:H105)</f>
        <v>11064207.32</v>
      </c>
      <c r="I103" s="132" t="s">
        <v>83</v>
      </c>
      <c r="J103" s="129" t="s">
        <v>9</v>
      </c>
      <c r="K103" s="129">
        <v>90</v>
      </c>
      <c r="L103" s="129">
        <v>95</v>
      </c>
      <c r="M103" s="129">
        <v>95</v>
      </c>
    </row>
    <row r="104" spans="1:13" ht="21" hidden="1" customHeight="1" outlineLevel="1" x14ac:dyDescent="0.25">
      <c r="A104" s="136"/>
      <c r="B104" s="133"/>
      <c r="C104" s="145"/>
      <c r="D104" s="4" t="s">
        <v>10</v>
      </c>
      <c r="E104" s="5">
        <f t="shared" si="10"/>
        <v>889000</v>
      </c>
      <c r="F104" s="8">
        <v>0</v>
      </c>
      <c r="G104" s="8">
        <f>0+889000</f>
        <v>889000</v>
      </c>
      <c r="H104" s="12">
        <v>0</v>
      </c>
      <c r="I104" s="133"/>
      <c r="J104" s="130"/>
      <c r="K104" s="130"/>
      <c r="L104" s="130"/>
      <c r="M104" s="130"/>
    </row>
    <row r="105" spans="1:13" ht="21" hidden="1" customHeight="1" outlineLevel="1" x14ac:dyDescent="0.25">
      <c r="A105" s="137"/>
      <c r="B105" s="134"/>
      <c r="C105" s="145"/>
      <c r="D105" s="4" t="s">
        <v>11</v>
      </c>
      <c r="E105" s="5">
        <f t="shared" si="10"/>
        <v>21749376.52</v>
      </c>
      <c r="F105" s="8">
        <v>8431992</v>
      </c>
      <c r="G105" s="8">
        <f>3202020-889000-59842.8</f>
        <v>2253177.2000000002</v>
      </c>
      <c r="H105" s="56">
        <v>11064207.32</v>
      </c>
      <c r="I105" s="134"/>
      <c r="J105" s="131"/>
      <c r="K105" s="131"/>
      <c r="L105" s="131"/>
      <c r="M105" s="131"/>
    </row>
    <row r="106" spans="1:13" ht="21" hidden="1" customHeight="1" outlineLevel="1" x14ac:dyDescent="0.25">
      <c r="A106" s="135" t="s">
        <v>113</v>
      </c>
      <c r="B106" s="132" t="s">
        <v>36</v>
      </c>
      <c r="C106" s="145" t="s">
        <v>75</v>
      </c>
      <c r="D106" s="3" t="s">
        <v>6</v>
      </c>
      <c r="E106" s="7">
        <f>SUM(F106:H106)</f>
        <v>3163045</v>
      </c>
      <c r="F106" s="7">
        <f>SUM(F107:F108)</f>
        <v>2676315</v>
      </c>
      <c r="G106" s="7">
        <f>SUM(G107:G108)</f>
        <v>486730</v>
      </c>
      <c r="H106" s="57">
        <f>SUM(H107:H108)</f>
        <v>0</v>
      </c>
      <c r="I106" s="132" t="s">
        <v>84</v>
      </c>
      <c r="J106" s="129" t="s">
        <v>9</v>
      </c>
      <c r="K106" s="129">
        <v>95</v>
      </c>
      <c r="L106" s="129">
        <v>95</v>
      </c>
      <c r="M106" s="129" t="s">
        <v>93</v>
      </c>
    </row>
    <row r="107" spans="1:13" ht="21" hidden="1" customHeight="1" outlineLevel="1" x14ac:dyDescent="0.25">
      <c r="A107" s="136"/>
      <c r="B107" s="133"/>
      <c r="C107" s="145"/>
      <c r="D107" s="4" t="s">
        <v>10</v>
      </c>
      <c r="E107" s="5">
        <f t="shared" si="10"/>
        <v>0</v>
      </c>
      <c r="F107" s="8">
        <v>0</v>
      </c>
      <c r="G107" s="8">
        <v>0</v>
      </c>
      <c r="H107" s="12">
        <v>0</v>
      </c>
      <c r="I107" s="133"/>
      <c r="J107" s="130"/>
      <c r="K107" s="130"/>
      <c r="L107" s="130"/>
      <c r="M107" s="130"/>
    </row>
    <row r="108" spans="1:13" ht="21" hidden="1" customHeight="1" outlineLevel="1" x14ac:dyDescent="0.25">
      <c r="A108" s="137"/>
      <c r="B108" s="134"/>
      <c r="C108" s="145"/>
      <c r="D108" s="4" t="s">
        <v>11</v>
      </c>
      <c r="E108" s="5">
        <f t="shared" si="10"/>
        <v>3163045</v>
      </c>
      <c r="F108" s="8">
        <v>2676315</v>
      </c>
      <c r="G108" s="8">
        <v>486730</v>
      </c>
      <c r="H108" s="12">
        <v>0</v>
      </c>
      <c r="I108" s="134"/>
      <c r="J108" s="131"/>
      <c r="K108" s="131"/>
      <c r="L108" s="131"/>
      <c r="M108" s="131"/>
    </row>
    <row r="109" spans="1:13" ht="21" hidden="1" customHeight="1" outlineLevel="1" x14ac:dyDescent="0.25">
      <c r="A109" s="135" t="s">
        <v>114</v>
      </c>
      <c r="B109" s="132" t="s">
        <v>37</v>
      </c>
      <c r="C109" s="145" t="s">
        <v>75</v>
      </c>
      <c r="D109" s="3" t="s">
        <v>6</v>
      </c>
      <c r="E109" s="7">
        <f>SUM(F109:H109)</f>
        <v>526811</v>
      </c>
      <c r="F109" s="7">
        <f>SUM(F110:F111)</f>
        <v>379584</v>
      </c>
      <c r="G109" s="7">
        <f>SUM(G110:G111)</f>
        <v>25000</v>
      </c>
      <c r="H109" s="57">
        <f>SUM(H110:H111)</f>
        <v>122227</v>
      </c>
      <c r="I109" s="132" t="s">
        <v>85</v>
      </c>
      <c r="J109" s="129" t="s">
        <v>9</v>
      </c>
      <c r="K109" s="129">
        <v>20</v>
      </c>
      <c r="L109" s="129">
        <v>20</v>
      </c>
      <c r="M109" s="129">
        <v>24.1</v>
      </c>
    </row>
    <row r="110" spans="1:13" ht="21" hidden="1" customHeight="1" outlineLevel="1" x14ac:dyDescent="0.25">
      <c r="A110" s="136"/>
      <c r="B110" s="133"/>
      <c r="C110" s="145"/>
      <c r="D110" s="4" t="s">
        <v>10</v>
      </c>
      <c r="E110" s="5">
        <f t="shared" si="10"/>
        <v>0</v>
      </c>
      <c r="F110" s="8">
        <v>0</v>
      </c>
      <c r="G110" s="8">
        <v>0</v>
      </c>
      <c r="H110" s="12">
        <v>0</v>
      </c>
      <c r="I110" s="133"/>
      <c r="J110" s="130"/>
      <c r="K110" s="130"/>
      <c r="L110" s="130"/>
      <c r="M110" s="130"/>
    </row>
    <row r="111" spans="1:13" ht="21" hidden="1" customHeight="1" outlineLevel="1" x14ac:dyDescent="0.25">
      <c r="A111" s="137"/>
      <c r="B111" s="134"/>
      <c r="C111" s="145"/>
      <c r="D111" s="4" t="s">
        <v>11</v>
      </c>
      <c r="E111" s="5">
        <f t="shared" si="10"/>
        <v>526811</v>
      </c>
      <c r="F111" s="8">
        <v>379584</v>
      </c>
      <c r="G111" s="8">
        <v>25000</v>
      </c>
      <c r="H111" s="12">
        <v>122227</v>
      </c>
      <c r="I111" s="134"/>
      <c r="J111" s="131"/>
      <c r="K111" s="131"/>
      <c r="L111" s="131"/>
      <c r="M111" s="131"/>
    </row>
    <row r="112" spans="1:13" ht="21" hidden="1" customHeight="1" outlineLevel="1" x14ac:dyDescent="0.25">
      <c r="A112" s="135" t="s">
        <v>115</v>
      </c>
      <c r="B112" s="132" t="s">
        <v>38</v>
      </c>
      <c r="C112" s="145" t="s">
        <v>75</v>
      </c>
      <c r="D112" s="3" t="s">
        <v>6</v>
      </c>
      <c r="E112" s="7">
        <f>SUM(F112:H112)</f>
        <v>737750</v>
      </c>
      <c r="F112" s="7">
        <f>SUM(F113:F114)</f>
        <v>737750</v>
      </c>
      <c r="G112" s="7">
        <f>SUM(G113:G114)</f>
        <v>0</v>
      </c>
      <c r="H112" s="57">
        <f>SUM(H113:H114)</f>
        <v>0</v>
      </c>
      <c r="I112" s="132" t="s">
        <v>86</v>
      </c>
      <c r="J112" s="129" t="s">
        <v>9</v>
      </c>
      <c r="K112" s="129">
        <v>95</v>
      </c>
      <c r="L112" s="129">
        <v>95</v>
      </c>
      <c r="M112" s="129">
        <v>95</v>
      </c>
    </row>
    <row r="113" spans="1:13" ht="21" hidden="1" customHeight="1" outlineLevel="1" x14ac:dyDescent="0.25">
      <c r="A113" s="136"/>
      <c r="B113" s="133"/>
      <c r="C113" s="145"/>
      <c r="D113" s="4" t="s">
        <v>10</v>
      </c>
      <c r="E113" s="5">
        <f t="shared" si="10"/>
        <v>0</v>
      </c>
      <c r="F113" s="8">
        <v>0</v>
      </c>
      <c r="G113" s="8">
        <v>0</v>
      </c>
      <c r="H113" s="12">
        <v>0</v>
      </c>
      <c r="I113" s="133"/>
      <c r="J113" s="130"/>
      <c r="K113" s="130"/>
      <c r="L113" s="130"/>
      <c r="M113" s="130"/>
    </row>
    <row r="114" spans="1:13" ht="21" hidden="1" customHeight="1" outlineLevel="1" x14ac:dyDescent="0.25">
      <c r="A114" s="137"/>
      <c r="B114" s="134"/>
      <c r="C114" s="145"/>
      <c r="D114" s="4" t="s">
        <v>11</v>
      </c>
      <c r="E114" s="5">
        <f t="shared" si="10"/>
        <v>737750</v>
      </c>
      <c r="F114" s="8">
        <v>737750</v>
      </c>
      <c r="G114" s="8">
        <v>0</v>
      </c>
      <c r="H114" s="12">
        <v>0</v>
      </c>
      <c r="I114" s="134"/>
      <c r="J114" s="131"/>
      <c r="K114" s="131"/>
      <c r="L114" s="131"/>
      <c r="M114" s="131"/>
    </row>
    <row r="115" spans="1:13" ht="21" hidden="1" customHeight="1" outlineLevel="1" x14ac:dyDescent="0.25">
      <c r="A115" s="135" t="s">
        <v>116</v>
      </c>
      <c r="B115" s="132" t="s">
        <v>69</v>
      </c>
      <c r="C115" s="145" t="s">
        <v>75</v>
      </c>
      <c r="D115" s="3" t="s">
        <v>6</v>
      </c>
      <c r="E115" s="7">
        <f>SUM(F115:H115)</f>
        <v>922278.87</v>
      </c>
      <c r="F115" s="7">
        <f>SUM(F116:F117)</f>
        <v>80300</v>
      </c>
      <c r="G115" s="7">
        <f>SUM(G116:G117)</f>
        <v>438258.87</v>
      </c>
      <c r="H115" s="57">
        <f>SUM(H116:H117)</f>
        <v>403720</v>
      </c>
      <c r="I115" s="132" t="s">
        <v>87</v>
      </c>
      <c r="J115" s="129" t="s">
        <v>9</v>
      </c>
      <c r="K115" s="129">
        <v>5</v>
      </c>
      <c r="L115" s="129">
        <v>10</v>
      </c>
      <c r="M115" s="129">
        <v>10</v>
      </c>
    </row>
    <row r="116" spans="1:13" ht="21" hidden="1" customHeight="1" outlineLevel="1" x14ac:dyDescent="0.25">
      <c r="A116" s="136"/>
      <c r="B116" s="133"/>
      <c r="C116" s="145"/>
      <c r="D116" s="4" t="s">
        <v>10</v>
      </c>
      <c r="E116" s="5">
        <f t="shared" si="10"/>
        <v>0</v>
      </c>
      <c r="F116" s="8">
        <v>0</v>
      </c>
      <c r="G116" s="8">
        <v>0</v>
      </c>
      <c r="H116" s="12">
        <v>0</v>
      </c>
      <c r="I116" s="133"/>
      <c r="J116" s="130"/>
      <c r="K116" s="130"/>
      <c r="L116" s="130"/>
      <c r="M116" s="130"/>
    </row>
    <row r="117" spans="1:13" ht="21" hidden="1" customHeight="1" outlineLevel="1" x14ac:dyDescent="0.25">
      <c r="A117" s="137"/>
      <c r="B117" s="134"/>
      <c r="C117" s="145"/>
      <c r="D117" s="4" t="s">
        <v>11</v>
      </c>
      <c r="E117" s="5">
        <f t="shared" si="10"/>
        <v>922278.87</v>
      </c>
      <c r="F117" s="8">
        <v>80300</v>
      </c>
      <c r="G117" s="8">
        <f>600010-161751.13</f>
        <v>438258.87</v>
      </c>
      <c r="H117" s="56">
        <f>52570+351150</f>
        <v>403720</v>
      </c>
      <c r="I117" s="134"/>
      <c r="J117" s="131"/>
      <c r="K117" s="131"/>
      <c r="L117" s="131"/>
      <c r="M117" s="131"/>
    </row>
    <row r="118" spans="1:13" ht="21" hidden="1" customHeight="1" outlineLevel="1" x14ac:dyDescent="0.25">
      <c r="A118" s="135" t="s">
        <v>117</v>
      </c>
      <c r="B118" s="132" t="s">
        <v>39</v>
      </c>
      <c r="C118" s="145" t="s">
        <v>75</v>
      </c>
      <c r="D118" s="3" t="s">
        <v>6</v>
      </c>
      <c r="E118" s="7">
        <f>SUM(F118:H118)</f>
        <v>841432</v>
      </c>
      <c r="F118" s="7">
        <f>SUM(F119:F120)</f>
        <v>541432</v>
      </c>
      <c r="G118" s="7">
        <f>SUM(G119:G120)</f>
        <v>300000</v>
      </c>
      <c r="H118" s="57">
        <f>SUM(H119:H120)</f>
        <v>0</v>
      </c>
      <c r="I118" s="132" t="s">
        <v>88</v>
      </c>
      <c r="J118" s="129" t="s">
        <v>9</v>
      </c>
      <c r="K118" s="129">
        <v>55</v>
      </c>
      <c r="L118" s="129">
        <v>60</v>
      </c>
      <c r="M118" s="129">
        <v>100</v>
      </c>
    </row>
    <row r="119" spans="1:13" ht="21" hidden="1" customHeight="1" outlineLevel="1" x14ac:dyDescent="0.25">
      <c r="A119" s="136"/>
      <c r="B119" s="133"/>
      <c r="C119" s="145"/>
      <c r="D119" s="4" t="s">
        <v>10</v>
      </c>
      <c r="E119" s="5">
        <f t="shared" si="10"/>
        <v>0</v>
      </c>
      <c r="F119" s="8">
        <v>0</v>
      </c>
      <c r="G119" s="8">
        <v>0</v>
      </c>
      <c r="H119" s="12">
        <v>0</v>
      </c>
      <c r="I119" s="133"/>
      <c r="J119" s="130"/>
      <c r="K119" s="130"/>
      <c r="L119" s="130"/>
      <c r="M119" s="130"/>
    </row>
    <row r="120" spans="1:13" ht="21" hidden="1" customHeight="1" outlineLevel="1" x14ac:dyDescent="0.25">
      <c r="A120" s="137"/>
      <c r="B120" s="134"/>
      <c r="C120" s="145"/>
      <c r="D120" s="4" t="s">
        <v>11</v>
      </c>
      <c r="E120" s="5">
        <f t="shared" si="10"/>
        <v>841432</v>
      </c>
      <c r="F120" s="8">
        <v>541432</v>
      </c>
      <c r="G120" s="8">
        <v>300000</v>
      </c>
      <c r="H120" s="12">
        <v>0</v>
      </c>
      <c r="I120" s="134"/>
      <c r="J120" s="131"/>
      <c r="K120" s="131"/>
      <c r="L120" s="131"/>
      <c r="M120" s="131"/>
    </row>
    <row r="121" spans="1:13" ht="21" hidden="1" customHeight="1" outlineLevel="1" x14ac:dyDescent="0.25">
      <c r="A121" s="135" t="s">
        <v>118</v>
      </c>
      <c r="B121" s="132" t="s">
        <v>40</v>
      </c>
      <c r="C121" s="145" t="s">
        <v>75</v>
      </c>
      <c r="D121" s="3" t="s">
        <v>6</v>
      </c>
      <c r="E121" s="7">
        <f>SUM(F121:H121)</f>
        <v>1848102</v>
      </c>
      <c r="F121" s="7">
        <f>SUM(F122:F123)</f>
        <v>1463200</v>
      </c>
      <c r="G121" s="7">
        <f>SUM(G122:G123)</f>
        <v>0</v>
      </c>
      <c r="H121" s="57">
        <f>SUM(H122:H123)</f>
        <v>384902</v>
      </c>
      <c r="I121" s="132" t="s">
        <v>89</v>
      </c>
      <c r="J121" s="129" t="s">
        <v>9</v>
      </c>
      <c r="K121" s="129">
        <v>95</v>
      </c>
      <c r="L121" s="129">
        <v>95</v>
      </c>
      <c r="M121" s="129">
        <v>96</v>
      </c>
    </row>
    <row r="122" spans="1:13" ht="21" hidden="1" customHeight="1" outlineLevel="1" x14ac:dyDescent="0.25">
      <c r="A122" s="136"/>
      <c r="B122" s="133"/>
      <c r="C122" s="145"/>
      <c r="D122" s="4" t="s">
        <v>10</v>
      </c>
      <c r="E122" s="5">
        <f t="shared" si="10"/>
        <v>0</v>
      </c>
      <c r="F122" s="8">
        <v>0</v>
      </c>
      <c r="G122" s="8">
        <v>0</v>
      </c>
      <c r="H122" s="12">
        <v>0</v>
      </c>
      <c r="I122" s="133"/>
      <c r="J122" s="130"/>
      <c r="K122" s="130"/>
      <c r="L122" s="130"/>
      <c r="M122" s="130"/>
    </row>
    <row r="123" spans="1:13" ht="21" hidden="1" customHeight="1" outlineLevel="1" x14ac:dyDescent="0.25">
      <c r="A123" s="137"/>
      <c r="B123" s="134"/>
      <c r="C123" s="145"/>
      <c r="D123" s="4" t="s">
        <v>11</v>
      </c>
      <c r="E123" s="5">
        <f t="shared" si="10"/>
        <v>1848102</v>
      </c>
      <c r="F123" s="8">
        <v>1463200</v>
      </c>
      <c r="G123" s="8">
        <v>0</v>
      </c>
      <c r="H123" s="12">
        <v>384902</v>
      </c>
      <c r="I123" s="134"/>
      <c r="J123" s="131"/>
      <c r="K123" s="131"/>
      <c r="L123" s="131"/>
      <c r="M123" s="131"/>
    </row>
    <row r="124" spans="1:13" ht="21" hidden="1" customHeight="1" outlineLevel="1" x14ac:dyDescent="0.25">
      <c r="A124" s="135" t="s">
        <v>119</v>
      </c>
      <c r="B124" s="132" t="s">
        <v>126</v>
      </c>
      <c r="C124" s="145" t="s">
        <v>75</v>
      </c>
      <c r="D124" s="3" t="s">
        <v>6</v>
      </c>
      <c r="E124" s="7">
        <f>SUM(F124:H124)</f>
        <v>448415.4</v>
      </c>
      <c r="F124" s="7">
        <f>SUM(F125:F126)</f>
        <v>100000</v>
      </c>
      <c r="G124" s="7">
        <f>SUM(G125:G126)</f>
        <v>201050</v>
      </c>
      <c r="H124" s="57">
        <f>SUM(H125:H126)</f>
        <v>147365.4</v>
      </c>
      <c r="I124" s="132" t="s">
        <v>90</v>
      </c>
      <c r="J124" s="129" t="s">
        <v>9</v>
      </c>
      <c r="K124" s="129">
        <v>95</v>
      </c>
      <c r="L124" s="129">
        <v>97</v>
      </c>
      <c r="M124" s="129">
        <v>100</v>
      </c>
    </row>
    <row r="125" spans="1:13" ht="21" hidden="1" customHeight="1" outlineLevel="1" x14ac:dyDescent="0.25">
      <c r="A125" s="136"/>
      <c r="B125" s="133"/>
      <c r="C125" s="145"/>
      <c r="D125" s="4" t="s">
        <v>10</v>
      </c>
      <c r="E125" s="5">
        <f t="shared" si="10"/>
        <v>0</v>
      </c>
      <c r="F125" s="8">
        <v>0</v>
      </c>
      <c r="G125" s="8">
        <v>0</v>
      </c>
      <c r="H125" s="12">
        <v>0</v>
      </c>
      <c r="I125" s="133"/>
      <c r="J125" s="130"/>
      <c r="K125" s="130"/>
      <c r="L125" s="130"/>
      <c r="M125" s="130"/>
    </row>
    <row r="126" spans="1:13" ht="21" hidden="1" customHeight="1" outlineLevel="1" x14ac:dyDescent="0.25">
      <c r="A126" s="137"/>
      <c r="B126" s="134"/>
      <c r="C126" s="145"/>
      <c r="D126" s="4" t="s">
        <v>11</v>
      </c>
      <c r="E126" s="5">
        <f t="shared" si="10"/>
        <v>448415.4</v>
      </c>
      <c r="F126" s="8">
        <v>100000</v>
      </c>
      <c r="G126" s="8">
        <f>27000+174050</f>
        <v>201050</v>
      </c>
      <c r="H126" s="12">
        <f>102665.4+44700</f>
        <v>147365.4</v>
      </c>
      <c r="I126" s="134"/>
      <c r="J126" s="131"/>
      <c r="K126" s="131"/>
      <c r="L126" s="131"/>
      <c r="M126" s="131"/>
    </row>
    <row r="127" spans="1:13" ht="21" hidden="1" customHeight="1" outlineLevel="1" x14ac:dyDescent="0.25">
      <c r="A127" s="135" t="s">
        <v>120</v>
      </c>
      <c r="B127" s="132" t="s">
        <v>127</v>
      </c>
      <c r="C127" s="145" t="s">
        <v>75</v>
      </c>
      <c r="D127" s="3" t="s">
        <v>6</v>
      </c>
      <c r="E127" s="7">
        <f>SUM(F127:H127)</f>
        <v>6511460</v>
      </c>
      <c r="F127" s="7">
        <f>SUM(F128:F129)</f>
        <v>740166</v>
      </c>
      <c r="G127" s="7">
        <f>SUM(G128:G129)</f>
        <v>199999</v>
      </c>
      <c r="H127" s="57">
        <v>5571295</v>
      </c>
      <c r="I127" s="132" t="s">
        <v>128</v>
      </c>
      <c r="J127" s="129" t="s">
        <v>9</v>
      </c>
      <c r="K127" s="129">
        <v>90</v>
      </c>
      <c r="L127" s="129">
        <v>95</v>
      </c>
      <c r="M127" s="129">
        <v>97</v>
      </c>
    </row>
    <row r="128" spans="1:13" ht="21" hidden="1" customHeight="1" outlineLevel="1" x14ac:dyDescent="0.25">
      <c r="A128" s="136"/>
      <c r="B128" s="133"/>
      <c r="C128" s="145"/>
      <c r="D128" s="4" t="s">
        <v>10</v>
      </c>
      <c r="E128" s="5">
        <f t="shared" si="10"/>
        <v>0</v>
      </c>
      <c r="F128" s="8">
        <v>0</v>
      </c>
      <c r="G128" s="8">
        <v>0</v>
      </c>
      <c r="H128" s="12">
        <v>0</v>
      </c>
      <c r="I128" s="133"/>
      <c r="J128" s="130"/>
      <c r="K128" s="130"/>
      <c r="L128" s="130"/>
      <c r="M128" s="130"/>
    </row>
    <row r="129" spans="1:13" ht="21" hidden="1" customHeight="1" outlineLevel="1" x14ac:dyDescent="0.25">
      <c r="A129" s="137"/>
      <c r="B129" s="134"/>
      <c r="C129" s="145"/>
      <c r="D129" s="4" t="s">
        <v>11</v>
      </c>
      <c r="E129" s="5">
        <f t="shared" si="10"/>
        <v>6511460</v>
      </c>
      <c r="F129" s="8">
        <v>740166</v>
      </c>
      <c r="G129" s="8">
        <f>200000-1</f>
        <v>199999</v>
      </c>
      <c r="H129" s="56">
        <f>3600985+101770+1868540</f>
        <v>5571295</v>
      </c>
      <c r="I129" s="134"/>
      <c r="J129" s="131"/>
      <c r="K129" s="131"/>
      <c r="L129" s="131"/>
      <c r="M129" s="131"/>
    </row>
    <row r="130" spans="1:13" ht="21" hidden="1" customHeight="1" outlineLevel="1" x14ac:dyDescent="0.25">
      <c r="A130" s="135" t="s">
        <v>121</v>
      </c>
      <c r="B130" s="132" t="s">
        <v>70</v>
      </c>
      <c r="C130" s="145" t="s">
        <v>75</v>
      </c>
      <c r="D130" s="3" t="s">
        <v>6</v>
      </c>
      <c r="E130" s="7">
        <f>SUM(F130:H130)</f>
        <v>1378400</v>
      </c>
      <c r="F130" s="7">
        <f>SUM(F131:F132)</f>
        <v>1378400</v>
      </c>
      <c r="G130" s="7">
        <f>SUM(G131:G132)</f>
        <v>0</v>
      </c>
      <c r="H130" s="57">
        <f>SUM(H131:H132)</f>
        <v>0</v>
      </c>
      <c r="I130" s="132" t="s">
        <v>91</v>
      </c>
      <c r="J130" s="129" t="s">
        <v>9</v>
      </c>
      <c r="K130" s="129">
        <v>100</v>
      </c>
      <c r="L130" s="129" t="s">
        <v>93</v>
      </c>
      <c r="M130" s="135" t="s">
        <v>93</v>
      </c>
    </row>
    <row r="131" spans="1:13" ht="21" hidden="1" customHeight="1" outlineLevel="1" x14ac:dyDescent="0.25">
      <c r="A131" s="136"/>
      <c r="B131" s="133"/>
      <c r="C131" s="145"/>
      <c r="D131" s="4" t="s">
        <v>10</v>
      </c>
      <c r="E131" s="5">
        <f t="shared" si="10"/>
        <v>0</v>
      </c>
      <c r="F131" s="8">
        <v>0</v>
      </c>
      <c r="G131" s="8">
        <v>0</v>
      </c>
      <c r="H131" s="12">
        <v>0</v>
      </c>
      <c r="I131" s="133"/>
      <c r="J131" s="130"/>
      <c r="K131" s="130"/>
      <c r="L131" s="130"/>
      <c r="M131" s="136"/>
    </row>
    <row r="132" spans="1:13" ht="21" hidden="1" customHeight="1" outlineLevel="1" x14ac:dyDescent="0.25">
      <c r="A132" s="137"/>
      <c r="B132" s="134"/>
      <c r="C132" s="145"/>
      <c r="D132" s="4" t="s">
        <v>11</v>
      </c>
      <c r="E132" s="5">
        <f t="shared" si="10"/>
        <v>1378400</v>
      </c>
      <c r="F132" s="8">
        <v>1378400</v>
      </c>
      <c r="G132" s="8">
        <v>0</v>
      </c>
      <c r="H132" s="12">
        <v>0</v>
      </c>
      <c r="I132" s="134"/>
      <c r="J132" s="131"/>
      <c r="K132" s="131"/>
      <c r="L132" s="131"/>
      <c r="M132" s="137"/>
    </row>
    <row r="133" spans="1:13" ht="21" hidden="1" customHeight="1" outlineLevel="1" x14ac:dyDescent="0.25">
      <c r="A133" s="135" t="s">
        <v>122</v>
      </c>
      <c r="B133" s="132" t="s">
        <v>41</v>
      </c>
      <c r="C133" s="145" t="s">
        <v>75</v>
      </c>
      <c r="D133" s="3" t="s">
        <v>6</v>
      </c>
      <c r="E133" s="7">
        <f>SUM(F133:H133)</f>
        <v>1057561.6000000001</v>
      </c>
      <c r="F133" s="7">
        <f>SUM(F134:F135)</f>
        <v>0</v>
      </c>
      <c r="G133" s="7">
        <f>SUM(G134:G135)</f>
        <v>1057561.6000000001</v>
      </c>
      <c r="H133" s="57">
        <f>SUM(H134:H135)</f>
        <v>0</v>
      </c>
      <c r="I133" s="132" t="s">
        <v>92</v>
      </c>
      <c r="J133" s="129" t="s">
        <v>9</v>
      </c>
      <c r="K133" s="129" t="s">
        <v>93</v>
      </c>
      <c r="L133" s="129">
        <v>15</v>
      </c>
      <c r="M133" s="129">
        <v>15</v>
      </c>
    </row>
    <row r="134" spans="1:13" ht="21" hidden="1" customHeight="1" outlineLevel="1" x14ac:dyDescent="0.25">
      <c r="A134" s="136"/>
      <c r="B134" s="133"/>
      <c r="C134" s="145"/>
      <c r="D134" s="4" t="s">
        <v>10</v>
      </c>
      <c r="E134" s="5">
        <f t="shared" si="10"/>
        <v>0</v>
      </c>
      <c r="F134" s="8">
        <v>0</v>
      </c>
      <c r="G134" s="8">
        <v>0</v>
      </c>
      <c r="H134" s="12">
        <v>0</v>
      </c>
      <c r="I134" s="133"/>
      <c r="J134" s="130"/>
      <c r="K134" s="130"/>
      <c r="L134" s="130"/>
      <c r="M134" s="130"/>
    </row>
    <row r="135" spans="1:13" ht="21" hidden="1" customHeight="1" outlineLevel="1" x14ac:dyDescent="0.25">
      <c r="A135" s="137"/>
      <c r="B135" s="134"/>
      <c r="C135" s="145"/>
      <c r="D135" s="4" t="s">
        <v>11</v>
      </c>
      <c r="E135" s="5">
        <f t="shared" si="10"/>
        <v>1057561.6000000001</v>
      </c>
      <c r="F135" s="8">
        <v>0</v>
      </c>
      <c r="G135" s="8">
        <f>1057570-8.4</f>
        <v>1057561.6000000001</v>
      </c>
      <c r="H135" s="12">
        <v>0</v>
      </c>
      <c r="I135" s="134"/>
      <c r="J135" s="131"/>
      <c r="K135" s="131"/>
      <c r="L135" s="131"/>
      <c r="M135" s="131"/>
    </row>
    <row r="136" spans="1:13" ht="21" hidden="1" customHeight="1" outlineLevel="1" x14ac:dyDescent="0.25">
      <c r="A136" s="135" t="s">
        <v>123</v>
      </c>
      <c r="B136" s="132" t="s">
        <v>42</v>
      </c>
      <c r="C136" s="145" t="s">
        <v>75</v>
      </c>
      <c r="D136" s="3" t="s">
        <v>6</v>
      </c>
      <c r="E136" s="7">
        <f>SUM(F136:H136)</f>
        <v>4733432.76</v>
      </c>
      <c r="F136" s="7">
        <f>SUM(F137:F138)</f>
        <v>0</v>
      </c>
      <c r="G136" s="7">
        <f>SUM(G137:G138)</f>
        <v>747416.4</v>
      </c>
      <c r="H136" s="57">
        <v>3986016.36</v>
      </c>
      <c r="I136" s="132" t="s">
        <v>94</v>
      </c>
      <c r="J136" s="129" t="s">
        <v>9</v>
      </c>
      <c r="K136" s="129" t="s">
        <v>93</v>
      </c>
      <c r="L136" s="129">
        <v>20</v>
      </c>
      <c r="M136" s="129">
        <v>16.600000000000001</v>
      </c>
    </row>
    <row r="137" spans="1:13" ht="21" hidden="1" customHeight="1" outlineLevel="1" x14ac:dyDescent="0.25">
      <c r="A137" s="136"/>
      <c r="B137" s="133"/>
      <c r="C137" s="145"/>
      <c r="D137" s="4" t="s">
        <v>10</v>
      </c>
      <c r="E137" s="5">
        <f t="shared" si="10"/>
        <v>0</v>
      </c>
      <c r="F137" s="8">
        <v>0</v>
      </c>
      <c r="G137" s="8">
        <v>0</v>
      </c>
      <c r="H137" s="12">
        <v>0</v>
      </c>
      <c r="I137" s="133"/>
      <c r="J137" s="130"/>
      <c r="K137" s="130"/>
      <c r="L137" s="130"/>
      <c r="M137" s="130"/>
    </row>
    <row r="138" spans="1:13" ht="21" hidden="1" customHeight="1" outlineLevel="1" x14ac:dyDescent="0.25">
      <c r="A138" s="137"/>
      <c r="B138" s="134"/>
      <c r="C138" s="145"/>
      <c r="D138" s="4" t="s">
        <v>11</v>
      </c>
      <c r="E138" s="5">
        <f t="shared" si="10"/>
        <v>4733432.76</v>
      </c>
      <c r="F138" s="8">
        <v>0</v>
      </c>
      <c r="G138" s="8">
        <f>707220+40196.4</f>
        <v>747416.4</v>
      </c>
      <c r="H138" s="12">
        <v>3986016.36</v>
      </c>
      <c r="I138" s="134"/>
      <c r="J138" s="131"/>
      <c r="K138" s="131"/>
      <c r="L138" s="131"/>
      <c r="M138" s="131"/>
    </row>
    <row r="139" spans="1:13" ht="21" hidden="1" customHeight="1" outlineLevel="1" x14ac:dyDescent="0.25">
      <c r="A139" s="135" t="s">
        <v>124</v>
      </c>
      <c r="B139" s="132" t="s">
        <v>43</v>
      </c>
      <c r="C139" s="145" t="s">
        <v>75</v>
      </c>
      <c r="D139" s="3" t="s">
        <v>6</v>
      </c>
      <c r="E139" s="7">
        <f>SUM(F139:H139)</f>
        <v>1474452.58</v>
      </c>
      <c r="F139" s="7">
        <f>SUM(F140:F141)</f>
        <v>0</v>
      </c>
      <c r="G139" s="7">
        <f>SUM(G140:G141)</f>
        <v>462792.57999999996</v>
      </c>
      <c r="H139" s="57">
        <f>SUM(H140:H141)</f>
        <v>1011660</v>
      </c>
      <c r="I139" s="132" t="s">
        <v>97</v>
      </c>
      <c r="J139" s="129" t="s">
        <v>9</v>
      </c>
      <c r="K139" s="135" t="s">
        <v>99</v>
      </c>
      <c r="L139" s="135" t="s">
        <v>98</v>
      </c>
      <c r="M139" s="129">
        <v>4.2</v>
      </c>
    </row>
    <row r="140" spans="1:13" ht="21" hidden="1" customHeight="1" outlineLevel="1" x14ac:dyDescent="0.25">
      <c r="A140" s="136"/>
      <c r="B140" s="133"/>
      <c r="C140" s="145"/>
      <c r="D140" s="4" t="s">
        <v>10</v>
      </c>
      <c r="E140" s="5">
        <f t="shared" si="10"/>
        <v>0</v>
      </c>
      <c r="F140" s="8">
        <v>0</v>
      </c>
      <c r="G140" s="8">
        <v>0</v>
      </c>
      <c r="H140" s="12">
        <v>0</v>
      </c>
      <c r="I140" s="133"/>
      <c r="J140" s="130"/>
      <c r="K140" s="136"/>
      <c r="L140" s="136"/>
      <c r="M140" s="130"/>
    </row>
    <row r="141" spans="1:13" ht="21" hidden="1" customHeight="1" outlineLevel="1" x14ac:dyDescent="0.25">
      <c r="A141" s="137"/>
      <c r="B141" s="134"/>
      <c r="C141" s="145"/>
      <c r="D141" s="4" t="s">
        <v>11</v>
      </c>
      <c r="E141" s="5">
        <f t="shared" si="10"/>
        <v>1474452.58</v>
      </c>
      <c r="F141" s="8">
        <v>0</v>
      </c>
      <c r="G141" s="8">
        <f>56250+150000+256542.58</f>
        <v>462792.57999999996</v>
      </c>
      <c r="H141" s="8">
        <v>1011660</v>
      </c>
      <c r="I141" s="134"/>
      <c r="J141" s="131"/>
      <c r="K141" s="137"/>
      <c r="L141" s="137"/>
      <c r="M141" s="131"/>
    </row>
    <row r="142" spans="1:13" s="6" customFormat="1" ht="13.5" customHeight="1" x14ac:dyDescent="0.2">
      <c r="A142" s="147" t="s">
        <v>74</v>
      </c>
      <c r="B142" s="147"/>
      <c r="C142" s="147"/>
      <c r="D142" s="11" t="s">
        <v>6</v>
      </c>
      <c r="E142" s="7">
        <f t="shared" ref="E142:E147" si="12">SUM(F142:H142)</f>
        <v>55006067</v>
      </c>
      <c r="F142" s="7">
        <f>SUM(F143:F144)</f>
        <v>18846257</v>
      </c>
      <c r="G142" s="7">
        <f>SUM(G143:G144)</f>
        <v>9064430</v>
      </c>
      <c r="H142" s="7">
        <f>SUM(H143:H144)</f>
        <v>27095380</v>
      </c>
      <c r="I142" s="132"/>
      <c r="J142" s="129"/>
      <c r="K142" s="129"/>
      <c r="L142" s="129"/>
      <c r="M142" s="129"/>
    </row>
    <row r="143" spans="1:13" s="6" customFormat="1" ht="13.5" customHeight="1" x14ac:dyDescent="0.2">
      <c r="A143" s="147"/>
      <c r="B143" s="147"/>
      <c r="C143" s="147"/>
      <c r="D143" s="11" t="s">
        <v>10</v>
      </c>
      <c r="E143" s="7">
        <f t="shared" si="12"/>
        <v>1600000</v>
      </c>
      <c r="F143" s="7">
        <f t="shared" ref="F143:H144" si="13">F89</f>
        <v>0</v>
      </c>
      <c r="G143" s="7">
        <f t="shared" si="13"/>
        <v>1600000</v>
      </c>
      <c r="H143" s="7">
        <f t="shared" si="13"/>
        <v>0</v>
      </c>
      <c r="I143" s="133"/>
      <c r="J143" s="130"/>
      <c r="K143" s="130"/>
      <c r="L143" s="130"/>
      <c r="M143" s="130"/>
    </row>
    <row r="144" spans="1:13" s="6" customFormat="1" ht="13.5" customHeight="1" x14ac:dyDescent="0.2">
      <c r="A144" s="147"/>
      <c r="B144" s="147"/>
      <c r="C144" s="147"/>
      <c r="D144" s="11" t="s">
        <v>11</v>
      </c>
      <c r="E144" s="7">
        <f t="shared" si="12"/>
        <v>53406067</v>
      </c>
      <c r="F144" s="7">
        <f t="shared" si="13"/>
        <v>18846257</v>
      </c>
      <c r="G144" s="7">
        <f t="shared" si="13"/>
        <v>7464430</v>
      </c>
      <c r="H144" s="7">
        <f t="shared" si="13"/>
        <v>27095380</v>
      </c>
      <c r="I144" s="134"/>
      <c r="J144" s="131"/>
      <c r="K144" s="131"/>
      <c r="L144" s="131"/>
      <c r="M144" s="131"/>
    </row>
    <row r="145" spans="1:13" s="6" customFormat="1" ht="13.5" customHeight="1" x14ac:dyDescent="0.2">
      <c r="A145" s="148" t="s">
        <v>44</v>
      </c>
      <c r="B145" s="149"/>
      <c r="C145" s="150"/>
      <c r="D145" s="11" t="s">
        <v>6</v>
      </c>
      <c r="E145" s="7">
        <f t="shared" si="12"/>
        <v>73118269</v>
      </c>
      <c r="F145" s="7">
        <f>SUM(F146:F147)</f>
        <v>24923869</v>
      </c>
      <c r="G145" s="7">
        <f>SUM(G146:G147)</f>
        <v>15729760</v>
      </c>
      <c r="H145" s="7">
        <f>SUM(H146:H147)</f>
        <v>32464640</v>
      </c>
      <c r="I145" s="132"/>
      <c r="J145" s="129"/>
      <c r="K145" s="129"/>
      <c r="L145" s="129"/>
      <c r="M145" s="129"/>
    </row>
    <row r="146" spans="1:13" s="6" customFormat="1" ht="13.5" customHeight="1" x14ac:dyDescent="0.2">
      <c r="A146" s="151"/>
      <c r="B146" s="152"/>
      <c r="C146" s="153"/>
      <c r="D146" s="11" t="s">
        <v>10</v>
      </c>
      <c r="E146" s="7">
        <f t="shared" si="12"/>
        <v>3878600</v>
      </c>
      <c r="F146" s="7">
        <f t="shared" ref="F146:H147" si="14">F60+F85+F143</f>
        <v>625000</v>
      </c>
      <c r="G146" s="7">
        <f t="shared" si="14"/>
        <v>3253600</v>
      </c>
      <c r="H146" s="7">
        <f t="shared" si="14"/>
        <v>0</v>
      </c>
      <c r="I146" s="133"/>
      <c r="J146" s="130"/>
      <c r="K146" s="130"/>
      <c r="L146" s="130"/>
      <c r="M146" s="130"/>
    </row>
    <row r="147" spans="1:13" s="6" customFormat="1" ht="13.5" customHeight="1" x14ac:dyDescent="0.2">
      <c r="A147" s="154"/>
      <c r="B147" s="155"/>
      <c r="C147" s="156"/>
      <c r="D147" s="11" t="s">
        <v>11</v>
      </c>
      <c r="E147" s="7">
        <f t="shared" si="12"/>
        <v>69239669</v>
      </c>
      <c r="F147" s="7">
        <f t="shared" si="14"/>
        <v>24298869</v>
      </c>
      <c r="G147" s="7">
        <f t="shared" si="14"/>
        <v>12476160</v>
      </c>
      <c r="H147" s="7">
        <f>H61+H86+H144</f>
        <v>32464640</v>
      </c>
      <c r="I147" s="134"/>
      <c r="J147" s="131"/>
      <c r="K147" s="131"/>
      <c r="L147" s="131"/>
      <c r="M147" s="131"/>
    </row>
    <row r="151" spans="1:13" x14ac:dyDescent="0.25">
      <c r="D151" s="13"/>
      <c r="E151" s="17"/>
      <c r="F151" s="17"/>
      <c r="G151" s="17"/>
      <c r="H151" s="13"/>
    </row>
    <row r="152" spans="1:13" x14ac:dyDescent="0.25">
      <c r="D152" s="13"/>
    </row>
  </sheetData>
  <mergeCells count="329">
    <mergeCell ref="L145:L147"/>
    <mergeCell ref="M145:M147"/>
    <mergeCell ref="A139:A141"/>
    <mergeCell ref="B139:B141"/>
    <mergeCell ref="A145:C147"/>
    <mergeCell ref="I145:I147"/>
    <mergeCell ref="J145:J147"/>
    <mergeCell ref="K145:K147"/>
    <mergeCell ref="A142:C144"/>
    <mergeCell ref="I142:I144"/>
    <mergeCell ref="J142:J144"/>
    <mergeCell ref="K142:K144"/>
    <mergeCell ref="L142:L144"/>
    <mergeCell ref="M142:M144"/>
    <mergeCell ref="C139:C141"/>
    <mergeCell ref="I139:I141"/>
    <mergeCell ref="J139:J141"/>
    <mergeCell ref="K139:K141"/>
    <mergeCell ref="L133:L135"/>
    <mergeCell ref="M133:M135"/>
    <mergeCell ref="L136:L138"/>
    <mergeCell ref="M136:M138"/>
    <mergeCell ref="L139:L141"/>
    <mergeCell ref="M139:M141"/>
    <mergeCell ref="A136:A138"/>
    <mergeCell ref="B136:B138"/>
    <mergeCell ref="C136:C138"/>
    <mergeCell ref="I136:I138"/>
    <mergeCell ref="J136:J138"/>
    <mergeCell ref="K136:K138"/>
    <mergeCell ref="A133:A135"/>
    <mergeCell ref="B133:B135"/>
    <mergeCell ref="C133:C135"/>
    <mergeCell ref="I133:I135"/>
    <mergeCell ref="J133:J135"/>
    <mergeCell ref="K133:K135"/>
    <mergeCell ref="L127:L129"/>
    <mergeCell ref="M127:M129"/>
    <mergeCell ref="A130:A132"/>
    <mergeCell ref="B130:B132"/>
    <mergeCell ref="C130:C132"/>
    <mergeCell ref="I130:I132"/>
    <mergeCell ref="J130:J132"/>
    <mergeCell ref="K130:K132"/>
    <mergeCell ref="L130:L132"/>
    <mergeCell ref="M130:M132"/>
    <mergeCell ref="A127:A129"/>
    <mergeCell ref="B127:B129"/>
    <mergeCell ref="C127:C129"/>
    <mergeCell ref="I127:I129"/>
    <mergeCell ref="J127:J129"/>
    <mergeCell ref="K127:K129"/>
    <mergeCell ref="L121:L123"/>
    <mergeCell ref="M121:M123"/>
    <mergeCell ref="A124:A126"/>
    <mergeCell ref="B124:B126"/>
    <mergeCell ref="C124:C126"/>
    <mergeCell ref="I124:I126"/>
    <mergeCell ref="J124:J126"/>
    <mergeCell ref="K124:K126"/>
    <mergeCell ref="L124:L126"/>
    <mergeCell ref="M124:M126"/>
    <mergeCell ref="A121:A123"/>
    <mergeCell ref="B121:B123"/>
    <mergeCell ref="C121:C123"/>
    <mergeCell ref="I121:I123"/>
    <mergeCell ref="J121:J123"/>
    <mergeCell ref="K121:K123"/>
    <mergeCell ref="L115:L117"/>
    <mergeCell ref="M115:M117"/>
    <mergeCell ref="A118:A120"/>
    <mergeCell ref="B118:B120"/>
    <mergeCell ref="C118:C120"/>
    <mergeCell ref="I118:I120"/>
    <mergeCell ref="J118:J120"/>
    <mergeCell ref="K118:K120"/>
    <mergeCell ref="L118:L120"/>
    <mergeCell ref="M118:M120"/>
    <mergeCell ref="A115:A117"/>
    <mergeCell ref="B115:B117"/>
    <mergeCell ref="C115:C117"/>
    <mergeCell ref="I115:I117"/>
    <mergeCell ref="J115:J117"/>
    <mergeCell ref="K115:K117"/>
    <mergeCell ref="L109:L111"/>
    <mergeCell ref="M109:M111"/>
    <mergeCell ref="A112:A114"/>
    <mergeCell ref="B112:B114"/>
    <mergeCell ref="C112:C114"/>
    <mergeCell ref="I112:I114"/>
    <mergeCell ref="J112:J114"/>
    <mergeCell ref="K112:K114"/>
    <mergeCell ref="L112:L114"/>
    <mergeCell ref="M112:M114"/>
    <mergeCell ref="A109:A111"/>
    <mergeCell ref="B109:B111"/>
    <mergeCell ref="C109:C111"/>
    <mergeCell ref="I109:I111"/>
    <mergeCell ref="J109:J111"/>
    <mergeCell ref="K109:K111"/>
    <mergeCell ref="L103:L105"/>
    <mergeCell ref="M103:M105"/>
    <mergeCell ref="A106:A108"/>
    <mergeCell ref="B106:B108"/>
    <mergeCell ref="C106:C108"/>
    <mergeCell ref="I106:I108"/>
    <mergeCell ref="J106:J108"/>
    <mergeCell ref="K106:K108"/>
    <mergeCell ref="L106:L108"/>
    <mergeCell ref="M106:M108"/>
    <mergeCell ref="A103:A105"/>
    <mergeCell ref="B103:B105"/>
    <mergeCell ref="C103:C105"/>
    <mergeCell ref="I103:I105"/>
    <mergeCell ref="J103:J105"/>
    <mergeCell ref="K103:K105"/>
    <mergeCell ref="L97:L99"/>
    <mergeCell ref="M97:M99"/>
    <mergeCell ref="A100:A102"/>
    <mergeCell ref="B100:B102"/>
    <mergeCell ref="C100:C102"/>
    <mergeCell ref="I100:I102"/>
    <mergeCell ref="J100:J102"/>
    <mergeCell ref="K100:K102"/>
    <mergeCell ref="L100:L102"/>
    <mergeCell ref="M100:M102"/>
    <mergeCell ref="A97:A99"/>
    <mergeCell ref="B97:B99"/>
    <mergeCell ref="C97:C99"/>
    <mergeCell ref="I97:I99"/>
    <mergeCell ref="J97:J99"/>
    <mergeCell ref="K97:K99"/>
    <mergeCell ref="L91:L93"/>
    <mergeCell ref="M91:M93"/>
    <mergeCell ref="A94:A96"/>
    <mergeCell ref="B94:B96"/>
    <mergeCell ref="C94:C96"/>
    <mergeCell ref="I94:I96"/>
    <mergeCell ref="J94:J96"/>
    <mergeCell ref="K94:K96"/>
    <mergeCell ref="L94:L96"/>
    <mergeCell ref="M94:M96"/>
    <mergeCell ref="A91:A93"/>
    <mergeCell ref="B91:B93"/>
    <mergeCell ref="C91:C93"/>
    <mergeCell ref="I91:I93"/>
    <mergeCell ref="J91:J93"/>
    <mergeCell ref="K91:K93"/>
    <mergeCell ref="M84:M86"/>
    <mergeCell ref="A87:L87"/>
    <mergeCell ref="A88:A90"/>
    <mergeCell ref="B88:B90"/>
    <mergeCell ref="C88:C90"/>
    <mergeCell ref="I88:I90"/>
    <mergeCell ref="J88:J90"/>
    <mergeCell ref="K88:K90"/>
    <mergeCell ref="L88:L90"/>
    <mergeCell ref="M88:M90"/>
    <mergeCell ref="L78:L83"/>
    <mergeCell ref="M78:M83"/>
    <mergeCell ref="A81:A83"/>
    <mergeCell ref="B81:B83"/>
    <mergeCell ref="C81:C83"/>
    <mergeCell ref="A84:C86"/>
    <mergeCell ref="I84:I86"/>
    <mergeCell ref="J84:J86"/>
    <mergeCell ref="K84:K86"/>
    <mergeCell ref="L84:L86"/>
    <mergeCell ref="A78:A80"/>
    <mergeCell ref="B78:B80"/>
    <mergeCell ref="C78:C80"/>
    <mergeCell ref="I78:I83"/>
    <mergeCell ref="J78:J83"/>
    <mergeCell ref="K78:K83"/>
    <mergeCell ref="B69:B71"/>
    <mergeCell ref="C69:C71"/>
    <mergeCell ref="A72:A74"/>
    <mergeCell ref="B72:B74"/>
    <mergeCell ref="C72:C74"/>
    <mergeCell ref="A75:A77"/>
    <mergeCell ref="B75:B77"/>
    <mergeCell ref="C75:C77"/>
    <mergeCell ref="M63:M65"/>
    <mergeCell ref="A66:A68"/>
    <mergeCell ref="B66:B68"/>
    <mergeCell ref="C66:C68"/>
    <mergeCell ref="I66:I77"/>
    <mergeCell ref="J66:J77"/>
    <mergeCell ref="K66:K77"/>
    <mergeCell ref="L66:L77"/>
    <mergeCell ref="M66:M77"/>
    <mergeCell ref="A69:A71"/>
    <mergeCell ref="A62:L62"/>
    <mergeCell ref="A63:A65"/>
    <mergeCell ref="B63:B65"/>
    <mergeCell ref="C63:C65"/>
    <mergeCell ref="I63:I65"/>
    <mergeCell ref="J63:J65"/>
    <mergeCell ref="K63:K65"/>
    <mergeCell ref="L63:L65"/>
    <mergeCell ref="A59:C61"/>
    <mergeCell ref="I59:I61"/>
    <mergeCell ref="J59:J61"/>
    <mergeCell ref="K59:K61"/>
    <mergeCell ref="L59:L61"/>
    <mergeCell ref="M59:M61"/>
    <mergeCell ref="L53:L55"/>
    <mergeCell ref="M53:M55"/>
    <mergeCell ref="A56:A58"/>
    <mergeCell ref="B56:B58"/>
    <mergeCell ref="C56:C58"/>
    <mergeCell ref="I56:I58"/>
    <mergeCell ref="J56:J58"/>
    <mergeCell ref="K56:K58"/>
    <mergeCell ref="L56:L58"/>
    <mergeCell ref="M56:M58"/>
    <mergeCell ref="A53:A55"/>
    <mergeCell ref="B53:B55"/>
    <mergeCell ref="C53:C55"/>
    <mergeCell ref="I53:I55"/>
    <mergeCell ref="J53:J55"/>
    <mergeCell ref="K53:K55"/>
    <mergeCell ref="L47:L49"/>
    <mergeCell ref="M47:M49"/>
    <mergeCell ref="A50:A52"/>
    <mergeCell ref="B50:B52"/>
    <mergeCell ref="C50:C52"/>
    <mergeCell ref="I50:I52"/>
    <mergeCell ref="J50:J52"/>
    <mergeCell ref="K50:K52"/>
    <mergeCell ref="L50:L52"/>
    <mergeCell ref="M50:M52"/>
    <mergeCell ref="A47:A49"/>
    <mergeCell ref="B47:B49"/>
    <mergeCell ref="C47:C49"/>
    <mergeCell ref="I47:I49"/>
    <mergeCell ref="J47:J49"/>
    <mergeCell ref="K47:K49"/>
    <mergeCell ref="L41:L43"/>
    <mergeCell ref="M41:M43"/>
    <mergeCell ref="A44:A46"/>
    <mergeCell ref="B44:B46"/>
    <mergeCell ref="I44:I46"/>
    <mergeCell ref="J44:J46"/>
    <mergeCell ref="K44:K46"/>
    <mergeCell ref="A41:A43"/>
    <mergeCell ref="B41:B43"/>
    <mergeCell ref="C41:C43"/>
    <mergeCell ref="I41:I43"/>
    <mergeCell ref="J41:J43"/>
    <mergeCell ref="K41:K43"/>
    <mergeCell ref="L35:L37"/>
    <mergeCell ref="M35:M37"/>
    <mergeCell ref="A38:A40"/>
    <mergeCell ref="B38:B40"/>
    <mergeCell ref="C38:C40"/>
    <mergeCell ref="I38:I40"/>
    <mergeCell ref="J38:J40"/>
    <mergeCell ref="K38:K40"/>
    <mergeCell ref="L38:L40"/>
    <mergeCell ref="M38:M40"/>
    <mergeCell ref="A35:A37"/>
    <mergeCell ref="B35:B37"/>
    <mergeCell ref="C35:C37"/>
    <mergeCell ref="I35:I37"/>
    <mergeCell ref="J35:J37"/>
    <mergeCell ref="K35:K37"/>
    <mergeCell ref="L29:L31"/>
    <mergeCell ref="M29:M31"/>
    <mergeCell ref="A32:A34"/>
    <mergeCell ref="B32:B34"/>
    <mergeCell ref="C32:C34"/>
    <mergeCell ref="I32:I34"/>
    <mergeCell ref="J32:J34"/>
    <mergeCell ref="K32:K34"/>
    <mergeCell ref="L32:L34"/>
    <mergeCell ref="M32:M34"/>
    <mergeCell ref="A29:A31"/>
    <mergeCell ref="B29:B31"/>
    <mergeCell ref="C29:C31"/>
    <mergeCell ref="I29:I31"/>
    <mergeCell ref="J29:J31"/>
    <mergeCell ref="K29:K31"/>
    <mergeCell ref="L23:L25"/>
    <mergeCell ref="M23:M25"/>
    <mergeCell ref="A26:A28"/>
    <mergeCell ref="B26:B28"/>
    <mergeCell ref="C26:C28"/>
    <mergeCell ref="I26:I28"/>
    <mergeCell ref="J26:J28"/>
    <mergeCell ref="K26:K28"/>
    <mergeCell ref="L26:L28"/>
    <mergeCell ref="M26:M28"/>
    <mergeCell ref="A23:A25"/>
    <mergeCell ref="B23:B25"/>
    <mergeCell ref="C23:C25"/>
    <mergeCell ref="I23:I25"/>
    <mergeCell ref="J23:J25"/>
    <mergeCell ref="K23:K25"/>
    <mergeCell ref="L17:L19"/>
    <mergeCell ref="M17:M19"/>
    <mergeCell ref="A20:A22"/>
    <mergeCell ref="B20:B22"/>
    <mergeCell ref="C20:C22"/>
    <mergeCell ref="I20:I22"/>
    <mergeCell ref="J20:J22"/>
    <mergeCell ref="K20:K22"/>
    <mergeCell ref="L20:L22"/>
    <mergeCell ref="M20:M22"/>
    <mergeCell ref="E12:E13"/>
    <mergeCell ref="F12:H12"/>
    <mergeCell ref="A15:M15"/>
    <mergeCell ref="B16:M16"/>
    <mergeCell ref="A17:A19"/>
    <mergeCell ref="B17:B19"/>
    <mergeCell ref="C17:C19"/>
    <mergeCell ref="I17:I19"/>
    <mergeCell ref="J17:J19"/>
    <mergeCell ref="K17:K19"/>
    <mergeCell ref="J1:M1"/>
    <mergeCell ref="J3:M7"/>
    <mergeCell ref="A8:M8"/>
    <mergeCell ref="K9:M9"/>
    <mergeCell ref="A11:A13"/>
    <mergeCell ref="B11:B13"/>
    <mergeCell ref="C11:C13"/>
    <mergeCell ref="D11:D13"/>
    <mergeCell ref="E11:H11"/>
    <mergeCell ref="I11:M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N390"/>
  <sheetViews>
    <sheetView tabSelected="1" view="pageLayout" topLeftCell="C3" zoomScaleNormal="85" zoomScaleSheetLayoutView="85" workbookViewId="0">
      <selection activeCell="J3" sqref="J3:M7"/>
    </sheetView>
  </sheetViews>
  <sheetFormatPr defaultRowHeight="15" outlineLevelRow="3" x14ac:dyDescent="0.25"/>
  <cols>
    <col min="1" max="1" width="8.85546875" style="98" customWidth="1"/>
    <col min="2" max="2" width="46" style="84" customWidth="1"/>
    <col min="3" max="3" width="21.28515625" style="84" customWidth="1"/>
    <col min="4" max="5" width="15.7109375" style="84" customWidth="1"/>
    <col min="6" max="7" width="12.7109375" style="84" bestFit="1" customWidth="1"/>
    <col min="8" max="8" width="24.85546875" style="84" customWidth="1"/>
    <col min="9" max="9" width="35.7109375" style="84" customWidth="1"/>
    <col min="10" max="10" width="8.85546875" style="84" customWidth="1"/>
    <col min="11" max="12" width="9.42578125" style="84" bestFit="1" customWidth="1"/>
    <col min="13" max="13" width="12.140625" style="84" customWidth="1"/>
    <col min="14" max="14" width="14.7109375" style="84" customWidth="1"/>
    <col min="15" max="16384" width="9.140625" style="84"/>
  </cols>
  <sheetData>
    <row r="1" spans="1:13" ht="53.25" hidden="1" customHeight="1" x14ac:dyDescent="0.25">
      <c r="I1" s="90"/>
      <c r="J1" s="187" t="s">
        <v>125</v>
      </c>
      <c r="K1" s="188"/>
      <c r="L1" s="188"/>
      <c r="M1" s="189"/>
    </row>
    <row r="2" spans="1:13" ht="9" hidden="1" customHeight="1" x14ac:dyDescent="0.25">
      <c r="J2" s="90"/>
      <c r="K2" s="90"/>
      <c r="L2" s="90"/>
      <c r="M2" s="90"/>
    </row>
    <row r="3" spans="1:13" ht="9" customHeight="1" x14ac:dyDescent="0.25">
      <c r="J3" s="190" t="s">
        <v>259</v>
      </c>
      <c r="K3" s="191"/>
      <c r="L3" s="191"/>
      <c r="M3" s="191"/>
    </row>
    <row r="4" spans="1:13" ht="9" customHeight="1" x14ac:dyDescent="0.25">
      <c r="J4" s="191"/>
      <c r="K4" s="191"/>
      <c r="L4" s="191"/>
      <c r="M4" s="191"/>
    </row>
    <row r="5" spans="1:13" ht="9" customHeight="1" x14ac:dyDescent="0.25">
      <c r="J5" s="191"/>
      <c r="K5" s="191"/>
      <c r="L5" s="191"/>
      <c r="M5" s="191"/>
    </row>
    <row r="6" spans="1:13" ht="9" customHeight="1" x14ac:dyDescent="0.25">
      <c r="J6" s="191"/>
      <c r="K6" s="191"/>
      <c r="L6" s="191"/>
      <c r="M6" s="191"/>
    </row>
    <row r="7" spans="1:13" ht="39.75" customHeight="1" x14ac:dyDescent="0.25">
      <c r="J7" s="191"/>
      <c r="K7" s="191"/>
      <c r="L7" s="191"/>
      <c r="M7" s="191"/>
    </row>
    <row r="8" spans="1:13" s="95" customFormat="1" ht="16.5" customHeight="1" x14ac:dyDescent="0.3">
      <c r="A8" s="192" t="s">
        <v>45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95" customFormat="1" ht="16.5" customHeigh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193" t="s">
        <v>249</v>
      </c>
      <c r="L9" s="194"/>
      <c r="M9" s="194"/>
    </row>
    <row r="10" spans="1:13" ht="9" customHeight="1" x14ac:dyDescent="0.25"/>
    <row r="11" spans="1:13" ht="15.75" customHeight="1" x14ac:dyDescent="0.25">
      <c r="A11" s="195" t="s">
        <v>0</v>
      </c>
      <c r="B11" s="182" t="s">
        <v>46</v>
      </c>
      <c r="C11" s="182" t="s">
        <v>2</v>
      </c>
      <c r="D11" s="182" t="s">
        <v>3</v>
      </c>
      <c r="E11" s="182"/>
      <c r="F11" s="182"/>
      <c r="G11" s="182"/>
      <c r="H11" s="182"/>
      <c r="I11" s="182" t="s">
        <v>5</v>
      </c>
      <c r="J11" s="182"/>
      <c r="K11" s="182"/>
      <c r="L11" s="182"/>
      <c r="M11" s="182"/>
    </row>
    <row r="12" spans="1:13" x14ac:dyDescent="0.25">
      <c r="A12" s="195"/>
      <c r="B12" s="182"/>
      <c r="C12" s="182"/>
      <c r="D12" s="182"/>
      <c r="E12" s="182" t="s">
        <v>6</v>
      </c>
      <c r="F12" s="182" t="s">
        <v>7</v>
      </c>
      <c r="G12" s="182"/>
      <c r="H12" s="182"/>
      <c r="I12" s="182"/>
      <c r="J12" s="182"/>
      <c r="K12" s="182"/>
      <c r="L12" s="182"/>
      <c r="M12" s="182"/>
    </row>
    <row r="13" spans="1:13" x14ac:dyDescent="0.25">
      <c r="A13" s="195"/>
      <c r="B13" s="182"/>
      <c r="C13" s="182"/>
      <c r="D13" s="182"/>
      <c r="E13" s="182"/>
      <c r="F13" s="86">
        <v>2014</v>
      </c>
      <c r="G13" s="86">
        <v>2015</v>
      </c>
      <c r="H13" s="86">
        <v>2016</v>
      </c>
      <c r="I13" s="86" t="s">
        <v>1</v>
      </c>
      <c r="J13" s="86" t="s">
        <v>8</v>
      </c>
      <c r="K13" s="86">
        <v>2014</v>
      </c>
      <c r="L13" s="86">
        <v>2015</v>
      </c>
      <c r="M13" s="86">
        <v>2016</v>
      </c>
    </row>
    <row r="14" spans="1:13" ht="12" customHeight="1" x14ac:dyDescent="0.25">
      <c r="A14" s="99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</row>
    <row r="15" spans="1:13" ht="27" customHeight="1" x14ac:dyDescent="0.25">
      <c r="A15" s="183" t="s">
        <v>47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5" customHeight="1" x14ac:dyDescent="0.25">
      <c r="A16" s="220" t="s">
        <v>251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2"/>
    </row>
    <row r="17" spans="1:14" s="95" customFormat="1" ht="14.25" customHeight="1" x14ac:dyDescent="0.2">
      <c r="A17" s="201" t="s">
        <v>132</v>
      </c>
      <c r="B17" s="213" t="s">
        <v>130</v>
      </c>
      <c r="C17" s="184"/>
      <c r="D17" s="92" t="s">
        <v>6</v>
      </c>
      <c r="E17" s="57">
        <f>SUM(F17:H17)</f>
        <v>11462137</v>
      </c>
      <c r="F17" s="57">
        <f>SUM(F18:F19)</f>
        <v>5271197</v>
      </c>
      <c r="G17" s="57">
        <f>SUM(G18:G19)</f>
        <v>3415930</v>
      </c>
      <c r="H17" s="57">
        <f>SUM(H18:H19)</f>
        <v>2775010</v>
      </c>
      <c r="I17" s="184" t="s">
        <v>100</v>
      </c>
      <c r="J17" s="198" t="s">
        <v>9</v>
      </c>
      <c r="K17" s="198" t="s">
        <v>101</v>
      </c>
      <c r="L17" s="198" t="s">
        <v>102</v>
      </c>
      <c r="M17" s="214" t="s">
        <v>102</v>
      </c>
      <c r="N17" s="94"/>
    </row>
    <row r="18" spans="1:14" s="95" customFormat="1" ht="14.25" customHeight="1" x14ac:dyDescent="0.2">
      <c r="A18" s="201"/>
      <c r="B18" s="213"/>
      <c r="C18" s="185"/>
      <c r="D18" s="92" t="s">
        <v>10</v>
      </c>
      <c r="E18" s="57">
        <f>SUM(F18:H18)</f>
        <v>1160100</v>
      </c>
      <c r="F18" s="57">
        <f t="shared" ref="F18:H19" si="0">F27+F54+F99+F117</f>
        <v>625000</v>
      </c>
      <c r="G18" s="57">
        <f t="shared" si="0"/>
        <v>535100</v>
      </c>
      <c r="H18" s="57">
        <f t="shared" si="0"/>
        <v>0</v>
      </c>
      <c r="I18" s="185"/>
      <c r="J18" s="199"/>
      <c r="K18" s="199"/>
      <c r="L18" s="199"/>
      <c r="M18" s="215"/>
      <c r="N18" s="94"/>
    </row>
    <row r="19" spans="1:14" s="95" customFormat="1" ht="14.25" customHeight="1" x14ac:dyDescent="0.2">
      <c r="A19" s="201"/>
      <c r="B19" s="213"/>
      <c r="C19" s="186"/>
      <c r="D19" s="92" t="s">
        <v>11</v>
      </c>
      <c r="E19" s="57">
        <f>SUM(F19:H19)</f>
        <v>10302037</v>
      </c>
      <c r="F19" s="57">
        <f t="shared" si="0"/>
        <v>4646197</v>
      </c>
      <c r="G19" s="57">
        <f t="shared" si="0"/>
        <v>2880830</v>
      </c>
      <c r="H19" s="57">
        <f t="shared" si="0"/>
        <v>2775010</v>
      </c>
      <c r="I19" s="185"/>
      <c r="J19" s="199"/>
      <c r="K19" s="199"/>
      <c r="L19" s="199"/>
      <c r="M19" s="215"/>
      <c r="N19" s="94"/>
    </row>
    <row r="20" spans="1:14" s="95" customFormat="1" ht="24" customHeight="1" x14ac:dyDescent="0.2">
      <c r="A20" s="201"/>
      <c r="B20" s="213"/>
      <c r="C20" s="184" t="s">
        <v>256</v>
      </c>
      <c r="D20" s="92" t="s">
        <v>6</v>
      </c>
      <c r="E20" s="57">
        <f t="shared" ref="E20:E25" si="1">SUM(F20:H20)</f>
        <v>11462137</v>
      </c>
      <c r="F20" s="57">
        <f>SUM(F21:F22)</f>
        <v>5271197</v>
      </c>
      <c r="G20" s="57">
        <f>SUM(G21:G22)</f>
        <v>3415930</v>
      </c>
      <c r="H20" s="57">
        <f>SUM(H21:H22)</f>
        <v>2775010</v>
      </c>
      <c r="I20" s="185"/>
      <c r="J20" s="199"/>
      <c r="K20" s="199"/>
      <c r="L20" s="199"/>
      <c r="M20" s="215"/>
      <c r="N20" s="94"/>
    </row>
    <row r="21" spans="1:14" s="95" customFormat="1" ht="24" customHeight="1" x14ac:dyDescent="0.2">
      <c r="A21" s="201"/>
      <c r="B21" s="213"/>
      <c r="C21" s="185"/>
      <c r="D21" s="92" t="s">
        <v>10</v>
      </c>
      <c r="E21" s="57">
        <f t="shared" si="1"/>
        <v>1160100</v>
      </c>
      <c r="F21" s="57">
        <f t="shared" ref="F21:H22" si="2">F30+F57+F102+F120</f>
        <v>625000</v>
      </c>
      <c r="G21" s="57">
        <f t="shared" si="2"/>
        <v>535100</v>
      </c>
      <c r="H21" s="57">
        <f t="shared" si="2"/>
        <v>0</v>
      </c>
      <c r="I21" s="185"/>
      <c r="J21" s="199"/>
      <c r="K21" s="199"/>
      <c r="L21" s="199"/>
      <c r="M21" s="215"/>
      <c r="N21" s="94"/>
    </row>
    <row r="22" spans="1:14" s="95" customFormat="1" ht="24" customHeight="1" x14ac:dyDescent="0.2">
      <c r="A22" s="201"/>
      <c r="B22" s="213"/>
      <c r="C22" s="186"/>
      <c r="D22" s="92" t="s">
        <v>11</v>
      </c>
      <c r="E22" s="57">
        <f t="shared" si="1"/>
        <v>10302037</v>
      </c>
      <c r="F22" s="57">
        <f t="shared" si="2"/>
        <v>4646197</v>
      </c>
      <c r="G22" s="57">
        <f t="shared" si="2"/>
        <v>2880830</v>
      </c>
      <c r="H22" s="57">
        <f t="shared" si="2"/>
        <v>2775010</v>
      </c>
      <c r="I22" s="185"/>
      <c r="J22" s="199"/>
      <c r="K22" s="199"/>
      <c r="L22" s="199"/>
      <c r="M22" s="215"/>
      <c r="N22" s="94"/>
    </row>
    <row r="23" spans="1:14" s="95" customFormat="1" ht="15" customHeight="1" x14ac:dyDescent="0.2">
      <c r="A23" s="201"/>
      <c r="B23" s="213"/>
      <c r="C23" s="184" t="s">
        <v>257</v>
      </c>
      <c r="D23" s="92" t="s">
        <v>6</v>
      </c>
      <c r="E23" s="57">
        <f t="shared" si="1"/>
        <v>0</v>
      </c>
      <c r="F23" s="57">
        <f>SUM(F24:F25)</f>
        <v>0</v>
      </c>
      <c r="G23" s="57">
        <f>SUM(G24:G25)</f>
        <v>0</v>
      </c>
      <c r="H23" s="57">
        <f>SUM(H24:H25)</f>
        <v>0</v>
      </c>
      <c r="I23" s="185"/>
      <c r="J23" s="199"/>
      <c r="K23" s="199"/>
      <c r="L23" s="199"/>
      <c r="M23" s="215"/>
      <c r="N23" s="94"/>
    </row>
    <row r="24" spans="1:14" s="95" customFormat="1" ht="15" customHeight="1" x14ac:dyDescent="0.2">
      <c r="A24" s="201"/>
      <c r="B24" s="213"/>
      <c r="C24" s="185"/>
      <c r="D24" s="92" t="s">
        <v>10</v>
      </c>
      <c r="E24" s="57">
        <f t="shared" si="1"/>
        <v>0</v>
      </c>
      <c r="F24" s="57">
        <f t="shared" ref="F24:H25" si="3">F33+F60+F105+F123</f>
        <v>0</v>
      </c>
      <c r="G24" s="57">
        <f t="shared" si="3"/>
        <v>0</v>
      </c>
      <c r="H24" s="57">
        <f t="shared" si="3"/>
        <v>0</v>
      </c>
      <c r="I24" s="185"/>
      <c r="J24" s="199"/>
      <c r="K24" s="199"/>
      <c r="L24" s="199"/>
      <c r="M24" s="215"/>
      <c r="N24" s="94"/>
    </row>
    <row r="25" spans="1:14" s="95" customFormat="1" ht="15" customHeight="1" x14ac:dyDescent="0.2">
      <c r="A25" s="201"/>
      <c r="B25" s="213"/>
      <c r="C25" s="186"/>
      <c r="D25" s="92" t="s">
        <v>11</v>
      </c>
      <c r="E25" s="57">
        <f t="shared" si="1"/>
        <v>0</v>
      </c>
      <c r="F25" s="57">
        <f t="shared" si="3"/>
        <v>0</v>
      </c>
      <c r="G25" s="57">
        <f t="shared" si="3"/>
        <v>0</v>
      </c>
      <c r="H25" s="57">
        <f t="shared" si="3"/>
        <v>0</v>
      </c>
      <c r="I25" s="186"/>
      <c r="J25" s="200"/>
      <c r="K25" s="200"/>
      <c r="L25" s="200"/>
      <c r="M25" s="216"/>
      <c r="N25" s="94"/>
    </row>
    <row r="26" spans="1:14" s="95" customFormat="1" ht="14.25" customHeight="1" outlineLevel="1" x14ac:dyDescent="0.2">
      <c r="A26" s="201" t="s">
        <v>104</v>
      </c>
      <c r="B26" s="213" t="s">
        <v>61</v>
      </c>
      <c r="C26" s="184"/>
      <c r="D26" s="93" t="s">
        <v>6</v>
      </c>
      <c r="E26" s="57">
        <f t="shared" ref="E26:E57" si="4">SUM(F26:H26)</f>
        <v>3255945</v>
      </c>
      <c r="F26" s="57">
        <f>SUM(F27:F28)</f>
        <v>1256095</v>
      </c>
      <c r="G26" s="57">
        <f>SUM(G27:G28)</f>
        <v>785830</v>
      </c>
      <c r="H26" s="57">
        <f>SUM(H27:H28)</f>
        <v>1214020</v>
      </c>
      <c r="I26" s="184" t="s">
        <v>100</v>
      </c>
      <c r="J26" s="198" t="s">
        <v>9</v>
      </c>
      <c r="K26" s="198" t="s">
        <v>101</v>
      </c>
      <c r="L26" s="198" t="s">
        <v>102</v>
      </c>
      <c r="M26" s="214" t="s">
        <v>102</v>
      </c>
      <c r="N26" s="94"/>
    </row>
    <row r="27" spans="1:14" s="95" customFormat="1" ht="14.25" customHeight="1" outlineLevel="1" x14ac:dyDescent="0.2">
      <c r="A27" s="201"/>
      <c r="B27" s="213"/>
      <c r="C27" s="185"/>
      <c r="D27" s="93" t="s">
        <v>10</v>
      </c>
      <c r="E27" s="57">
        <f t="shared" si="4"/>
        <v>0</v>
      </c>
      <c r="F27" s="57">
        <f t="shared" ref="F27:H28" si="5">F36+F45</f>
        <v>0</v>
      </c>
      <c r="G27" s="57">
        <f t="shared" si="5"/>
        <v>0</v>
      </c>
      <c r="H27" s="57">
        <f t="shared" si="5"/>
        <v>0</v>
      </c>
      <c r="I27" s="185"/>
      <c r="J27" s="199"/>
      <c r="K27" s="199"/>
      <c r="L27" s="199"/>
      <c r="M27" s="215"/>
      <c r="N27" s="94"/>
    </row>
    <row r="28" spans="1:14" s="95" customFormat="1" ht="14.25" customHeight="1" outlineLevel="1" x14ac:dyDescent="0.2">
      <c r="A28" s="201"/>
      <c r="B28" s="213"/>
      <c r="C28" s="186"/>
      <c r="D28" s="93" t="s">
        <v>11</v>
      </c>
      <c r="E28" s="57">
        <f t="shared" si="4"/>
        <v>3255945</v>
      </c>
      <c r="F28" s="57">
        <f t="shared" si="5"/>
        <v>1256095</v>
      </c>
      <c r="G28" s="57">
        <f t="shared" si="5"/>
        <v>785830</v>
      </c>
      <c r="H28" s="57">
        <f t="shared" si="5"/>
        <v>1214020</v>
      </c>
      <c r="I28" s="185"/>
      <c r="J28" s="199"/>
      <c r="K28" s="199"/>
      <c r="L28" s="199"/>
      <c r="M28" s="215"/>
      <c r="N28" s="94"/>
    </row>
    <row r="29" spans="1:14" s="95" customFormat="1" ht="24" customHeight="1" outlineLevel="1" x14ac:dyDescent="0.2">
      <c r="A29" s="201"/>
      <c r="B29" s="213"/>
      <c r="C29" s="184" t="s">
        <v>256</v>
      </c>
      <c r="D29" s="93" t="s">
        <v>6</v>
      </c>
      <c r="E29" s="57">
        <f t="shared" si="4"/>
        <v>3255945</v>
      </c>
      <c r="F29" s="57">
        <f>SUM(F30:F31)</f>
        <v>1256095</v>
      </c>
      <c r="G29" s="57">
        <f>SUM(G30:G31)</f>
        <v>785830</v>
      </c>
      <c r="H29" s="57">
        <f>SUM(H30:H31)</f>
        <v>1214020</v>
      </c>
      <c r="I29" s="185"/>
      <c r="J29" s="199"/>
      <c r="K29" s="199"/>
      <c r="L29" s="199"/>
      <c r="M29" s="215"/>
      <c r="N29" s="94"/>
    </row>
    <row r="30" spans="1:14" s="95" customFormat="1" ht="24" customHeight="1" outlineLevel="1" x14ac:dyDescent="0.2">
      <c r="A30" s="201"/>
      <c r="B30" s="213"/>
      <c r="C30" s="185"/>
      <c r="D30" s="93" t="s">
        <v>10</v>
      </c>
      <c r="E30" s="57">
        <f t="shared" si="4"/>
        <v>0</v>
      </c>
      <c r="F30" s="57">
        <f t="shared" ref="F30:H31" si="6">F39+F48</f>
        <v>0</v>
      </c>
      <c r="G30" s="57">
        <f t="shared" si="6"/>
        <v>0</v>
      </c>
      <c r="H30" s="57">
        <f t="shared" si="6"/>
        <v>0</v>
      </c>
      <c r="I30" s="185"/>
      <c r="J30" s="199"/>
      <c r="K30" s="199"/>
      <c r="L30" s="199"/>
      <c r="M30" s="215"/>
      <c r="N30" s="94"/>
    </row>
    <row r="31" spans="1:14" s="95" customFormat="1" ht="24" customHeight="1" outlineLevel="1" x14ac:dyDescent="0.2">
      <c r="A31" s="201"/>
      <c r="B31" s="213"/>
      <c r="C31" s="186"/>
      <c r="D31" s="93" t="s">
        <v>11</v>
      </c>
      <c r="E31" s="57">
        <f t="shared" si="4"/>
        <v>3255945</v>
      </c>
      <c r="F31" s="57">
        <f t="shared" si="6"/>
        <v>1256095</v>
      </c>
      <c r="G31" s="57">
        <f t="shared" si="6"/>
        <v>785830</v>
      </c>
      <c r="H31" s="57">
        <f>H40+H49</f>
        <v>1214020</v>
      </c>
      <c r="I31" s="185"/>
      <c r="J31" s="199"/>
      <c r="K31" s="199"/>
      <c r="L31" s="199"/>
      <c r="M31" s="215"/>
      <c r="N31" s="94"/>
    </row>
    <row r="32" spans="1:14" s="95" customFormat="1" ht="15" customHeight="1" outlineLevel="1" x14ac:dyDescent="0.2">
      <c r="A32" s="201"/>
      <c r="B32" s="213"/>
      <c r="C32" s="184" t="s">
        <v>257</v>
      </c>
      <c r="D32" s="93" t="s">
        <v>6</v>
      </c>
      <c r="E32" s="57">
        <f t="shared" si="4"/>
        <v>0</v>
      </c>
      <c r="F32" s="57">
        <f>SUM(F33:F34)</f>
        <v>0</v>
      </c>
      <c r="G32" s="57">
        <f>SUM(G33:G34)</f>
        <v>0</v>
      </c>
      <c r="H32" s="57">
        <f>SUM(H33:H34)</f>
        <v>0</v>
      </c>
      <c r="I32" s="185"/>
      <c r="J32" s="199"/>
      <c r="K32" s="199"/>
      <c r="L32" s="199"/>
      <c r="M32" s="215"/>
      <c r="N32" s="94"/>
    </row>
    <row r="33" spans="1:14" s="95" customFormat="1" ht="15" customHeight="1" outlineLevel="1" x14ac:dyDescent="0.2">
      <c r="A33" s="201"/>
      <c r="B33" s="213"/>
      <c r="C33" s="185"/>
      <c r="D33" s="93" t="s">
        <v>10</v>
      </c>
      <c r="E33" s="57">
        <f t="shared" si="4"/>
        <v>0</v>
      </c>
      <c r="F33" s="57">
        <f t="shared" ref="F33:H34" si="7">F42+F51</f>
        <v>0</v>
      </c>
      <c r="G33" s="57">
        <f t="shared" si="7"/>
        <v>0</v>
      </c>
      <c r="H33" s="57">
        <f t="shared" si="7"/>
        <v>0</v>
      </c>
      <c r="I33" s="185"/>
      <c r="J33" s="199"/>
      <c r="K33" s="199"/>
      <c r="L33" s="199"/>
      <c r="M33" s="215"/>
      <c r="N33" s="94"/>
    </row>
    <row r="34" spans="1:14" s="95" customFormat="1" ht="15" customHeight="1" outlineLevel="1" x14ac:dyDescent="0.2">
      <c r="A34" s="201"/>
      <c r="B34" s="213"/>
      <c r="C34" s="186"/>
      <c r="D34" s="93" t="s">
        <v>11</v>
      </c>
      <c r="E34" s="57">
        <f t="shared" si="4"/>
        <v>0</v>
      </c>
      <c r="F34" s="57">
        <f t="shared" si="7"/>
        <v>0</v>
      </c>
      <c r="G34" s="57">
        <f t="shared" si="7"/>
        <v>0</v>
      </c>
      <c r="H34" s="57">
        <f t="shared" si="7"/>
        <v>0</v>
      </c>
      <c r="I34" s="186"/>
      <c r="J34" s="200"/>
      <c r="K34" s="200"/>
      <c r="L34" s="200"/>
      <c r="M34" s="216"/>
      <c r="N34" s="94"/>
    </row>
    <row r="35" spans="1:14" ht="25.5" customHeight="1" outlineLevel="2" x14ac:dyDescent="0.25">
      <c r="A35" s="197" t="s">
        <v>48</v>
      </c>
      <c r="B35" s="196" t="s">
        <v>12</v>
      </c>
      <c r="C35" s="184"/>
      <c r="D35" s="93" t="s">
        <v>6</v>
      </c>
      <c r="E35" s="57">
        <f t="shared" si="4"/>
        <v>480000</v>
      </c>
      <c r="F35" s="57">
        <f>SUM(F36:F37)</f>
        <v>200000</v>
      </c>
      <c r="G35" s="57">
        <f>SUM(G36:G37)</f>
        <v>100000</v>
      </c>
      <c r="H35" s="57">
        <f>SUM(H36:H37)</f>
        <v>180000</v>
      </c>
      <c r="I35" s="184" t="s">
        <v>13</v>
      </c>
      <c r="J35" s="198" t="s">
        <v>9</v>
      </c>
      <c r="K35" s="198">
        <v>100</v>
      </c>
      <c r="L35" s="198">
        <v>100</v>
      </c>
      <c r="M35" s="198">
        <v>100</v>
      </c>
      <c r="N35" s="94"/>
    </row>
    <row r="36" spans="1:14" ht="25.5" customHeight="1" outlineLevel="2" x14ac:dyDescent="0.25">
      <c r="A36" s="197"/>
      <c r="B36" s="196"/>
      <c r="C36" s="185"/>
      <c r="D36" s="96" t="s">
        <v>10</v>
      </c>
      <c r="E36" s="83">
        <f t="shared" si="4"/>
        <v>0</v>
      </c>
      <c r="F36" s="83">
        <v>0</v>
      </c>
      <c r="G36" s="83">
        <v>0</v>
      </c>
      <c r="H36" s="83">
        <v>0</v>
      </c>
      <c r="I36" s="185"/>
      <c r="J36" s="199"/>
      <c r="K36" s="199"/>
      <c r="L36" s="199"/>
      <c r="M36" s="199"/>
      <c r="N36" s="94"/>
    </row>
    <row r="37" spans="1:14" ht="25.5" customHeight="1" outlineLevel="2" x14ac:dyDescent="0.25">
      <c r="A37" s="197"/>
      <c r="B37" s="196"/>
      <c r="C37" s="186"/>
      <c r="D37" s="96" t="s">
        <v>11</v>
      </c>
      <c r="E37" s="83">
        <f t="shared" si="4"/>
        <v>480000</v>
      </c>
      <c r="F37" s="83">
        <v>200000</v>
      </c>
      <c r="G37" s="83">
        <v>100000</v>
      </c>
      <c r="H37" s="87">
        <v>180000</v>
      </c>
      <c r="I37" s="185"/>
      <c r="J37" s="199"/>
      <c r="K37" s="199"/>
      <c r="L37" s="199"/>
      <c r="M37" s="199"/>
      <c r="N37" s="94"/>
    </row>
    <row r="38" spans="1:14" ht="24" customHeight="1" outlineLevel="2" x14ac:dyDescent="0.25">
      <c r="A38" s="197"/>
      <c r="B38" s="196"/>
      <c r="C38" s="184" t="s">
        <v>256</v>
      </c>
      <c r="D38" s="93" t="s">
        <v>6</v>
      </c>
      <c r="E38" s="57">
        <f t="shared" si="4"/>
        <v>480000</v>
      </c>
      <c r="F38" s="57">
        <f>SUM(F39:F40)</f>
        <v>200000</v>
      </c>
      <c r="G38" s="57">
        <f>SUM(G39:G40)</f>
        <v>100000</v>
      </c>
      <c r="H38" s="57">
        <f>SUM(H39:H40)</f>
        <v>180000</v>
      </c>
      <c r="I38" s="185"/>
      <c r="J38" s="199"/>
      <c r="K38" s="199"/>
      <c r="L38" s="199"/>
      <c r="M38" s="199"/>
      <c r="N38" s="94"/>
    </row>
    <row r="39" spans="1:14" ht="24" customHeight="1" outlineLevel="2" x14ac:dyDescent="0.25">
      <c r="A39" s="197"/>
      <c r="B39" s="196"/>
      <c r="C39" s="185"/>
      <c r="D39" s="96" t="s">
        <v>10</v>
      </c>
      <c r="E39" s="83">
        <f t="shared" si="4"/>
        <v>0</v>
      </c>
      <c r="F39" s="83">
        <v>0</v>
      </c>
      <c r="G39" s="83">
        <v>0</v>
      </c>
      <c r="H39" s="83">
        <v>0</v>
      </c>
      <c r="I39" s="185"/>
      <c r="J39" s="199"/>
      <c r="K39" s="199"/>
      <c r="L39" s="199"/>
      <c r="M39" s="199"/>
      <c r="N39" s="94"/>
    </row>
    <row r="40" spans="1:14" ht="24" customHeight="1" outlineLevel="2" x14ac:dyDescent="0.25">
      <c r="A40" s="197"/>
      <c r="B40" s="196"/>
      <c r="C40" s="186"/>
      <c r="D40" s="96" t="s">
        <v>11</v>
      </c>
      <c r="E40" s="83">
        <f t="shared" si="4"/>
        <v>480000</v>
      </c>
      <c r="F40" s="83">
        <v>200000</v>
      </c>
      <c r="G40" s="83">
        <v>100000</v>
      </c>
      <c r="H40" s="87">
        <v>180000</v>
      </c>
      <c r="I40" s="185"/>
      <c r="J40" s="199"/>
      <c r="K40" s="199"/>
      <c r="L40" s="199"/>
      <c r="M40" s="199"/>
      <c r="N40" s="94"/>
    </row>
    <row r="41" spans="1:14" ht="15" customHeight="1" outlineLevel="2" x14ac:dyDescent="0.25">
      <c r="A41" s="197"/>
      <c r="B41" s="196"/>
      <c r="C41" s="184" t="s">
        <v>257</v>
      </c>
      <c r="D41" s="93" t="s">
        <v>6</v>
      </c>
      <c r="E41" s="57">
        <f t="shared" si="4"/>
        <v>0</v>
      </c>
      <c r="F41" s="57">
        <f>SUM(F42:F43)</f>
        <v>0</v>
      </c>
      <c r="G41" s="57">
        <f>SUM(G42:G43)</f>
        <v>0</v>
      </c>
      <c r="H41" s="57">
        <f>SUM(H42:H43)</f>
        <v>0</v>
      </c>
      <c r="I41" s="185"/>
      <c r="J41" s="199"/>
      <c r="K41" s="199"/>
      <c r="L41" s="199"/>
      <c r="M41" s="199"/>
      <c r="N41" s="94"/>
    </row>
    <row r="42" spans="1:14" ht="15" customHeight="1" outlineLevel="2" x14ac:dyDescent="0.25">
      <c r="A42" s="197"/>
      <c r="B42" s="196"/>
      <c r="C42" s="185"/>
      <c r="D42" s="96" t="s">
        <v>10</v>
      </c>
      <c r="E42" s="83">
        <f t="shared" si="4"/>
        <v>0</v>
      </c>
      <c r="F42" s="83"/>
      <c r="G42" s="83"/>
      <c r="H42" s="83"/>
      <c r="I42" s="185"/>
      <c r="J42" s="199"/>
      <c r="K42" s="199"/>
      <c r="L42" s="199"/>
      <c r="M42" s="199"/>
      <c r="N42" s="94"/>
    </row>
    <row r="43" spans="1:14" ht="15" customHeight="1" outlineLevel="2" x14ac:dyDescent="0.25">
      <c r="A43" s="197"/>
      <c r="B43" s="196"/>
      <c r="C43" s="186"/>
      <c r="D43" s="96" t="s">
        <v>11</v>
      </c>
      <c r="E43" s="83">
        <f t="shared" si="4"/>
        <v>0</v>
      </c>
      <c r="F43" s="83"/>
      <c r="G43" s="83"/>
      <c r="H43" s="87"/>
      <c r="I43" s="186"/>
      <c r="J43" s="200"/>
      <c r="K43" s="200"/>
      <c r="L43" s="200"/>
      <c r="M43" s="200"/>
      <c r="N43" s="94"/>
    </row>
    <row r="44" spans="1:14" ht="30" customHeight="1" outlineLevel="2" x14ac:dyDescent="0.25">
      <c r="A44" s="197" t="s">
        <v>49</v>
      </c>
      <c r="B44" s="196" t="s">
        <v>14</v>
      </c>
      <c r="C44" s="184"/>
      <c r="D44" s="93" t="s">
        <v>6</v>
      </c>
      <c r="E44" s="57">
        <f t="shared" si="4"/>
        <v>2775945</v>
      </c>
      <c r="F44" s="57">
        <f>SUM(F45:F46)</f>
        <v>1056095</v>
      </c>
      <c r="G44" s="57">
        <f>SUM(G45:G46)</f>
        <v>685830</v>
      </c>
      <c r="H44" s="57">
        <f>SUM(H45:H46)</f>
        <v>1034020</v>
      </c>
      <c r="I44" s="184" t="s">
        <v>16</v>
      </c>
      <c r="J44" s="198" t="s">
        <v>77</v>
      </c>
      <c r="K44" s="198">
        <v>12</v>
      </c>
      <c r="L44" s="198">
        <v>16</v>
      </c>
      <c r="M44" s="198">
        <v>18</v>
      </c>
      <c r="N44" s="94"/>
    </row>
    <row r="45" spans="1:14" ht="30" customHeight="1" outlineLevel="2" x14ac:dyDescent="0.25">
      <c r="A45" s="197"/>
      <c r="B45" s="196"/>
      <c r="C45" s="185"/>
      <c r="D45" s="96" t="s">
        <v>10</v>
      </c>
      <c r="E45" s="83">
        <f t="shared" si="4"/>
        <v>0</v>
      </c>
      <c r="F45" s="83">
        <v>0</v>
      </c>
      <c r="G45" s="83">
        <v>0</v>
      </c>
      <c r="H45" s="83">
        <v>0</v>
      </c>
      <c r="I45" s="185"/>
      <c r="J45" s="199"/>
      <c r="K45" s="199"/>
      <c r="L45" s="199"/>
      <c r="M45" s="199"/>
      <c r="N45" s="94"/>
    </row>
    <row r="46" spans="1:14" ht="30" customHeight="1" outlineLevel="2" x14ac:dyDescent="0.25">
      <c r="A46" s="197"/>
      <c r="B46" s="196"/>
      <c r="C46" s="186"/>
      <c r="D46" s="96" t="s">
        <v>11</v>
      </c>
      <c r="E46" s="83">
        <f t="shared" si="4"/>
        <v>2775945</v>
      </c>
      <c r="F46" s="83">
        <v>1056095</v>
      </c>
      <c r="G46" s="83">
        <f>667330+18500</f>
        <v>685830</v>
      </c>
      <c r="H46" s="83">
        <v>1034020</v>
      </c>
      <c r="I46" s="185"/>
      <c r="J46" s="199"/>
      <c r="K46" s="199"/>
      <c r="L46" s="199"/>
      <c r="M46" s="199"/>
      <c r="N46" s="94"/>
    </row>
    <row r="47" spans="1:14" ht="24" customHeight="1" outlineLevel="2" x14ac:dyDescent="0.25">
      <c r="A47" s="197"/>
      <c r="B47" s="196"/>
      <c r="C47" s="184" t="s">
        <v>256</v>
      </c>
      <c r="D47" s="93" t="s">
        <v>6</v>
      </c>
      <c r="E47" s="57">
        <f t="shared" si="4"/>
        <v>2775945</v>
      </c>
      <c r="F47" s="57">
        <f>SUM(F48:F49)</f>
        <v>1056095</v>
      </c>
      <c r="G47" s="57">
        <f>SUM(G48:G49)</f>
        <v>685830</v>
      </c>
      <c r="H47" s="57">
        <f>SUM(H48:H49)</f>
        <v>1034020</v>
      </c>
      <c r="I47" s="185"/>
      <c r="J47" s="199"/>
      <c r="K47" s="199"/>
      <c r="L47" s="199"/>
      <c r="M47" s="199"/>
      <c r="N47" s="94"/>
    </row>
    <row r="48" spans="1:14" ht="24" customHeight="1" outlineLevel="2" x14ac:dyDescent="0.25">
      <c r="A48" s="197"/>
      <c r="B48" s="196"/>
      <c r="C48" s="185"/>
      <c r="D48" s="96" t="s">
        <v>10</v>
      </c>
      <c r="E48" s="83">
        <f t="shared" si="4"/>
        <v>0</v>
      </c>
      <c r="F48" s="83">
        <v>0</v>
      </c>
      <c r="G48" s="83">
        <v>0</v>
      </c>
      <c r="H48" s="83">
        <v>0</v>
      </c>
      <c r="I48" s="185"/>
      <c r="J48" s="199"/>
      <c r="K48" s="199"/>
      <c r="L48" s="199"/>
      <c r="M48" s="199"/>
      <c r="N48" s="94"/>
    </row>
    <row r="49" spans="1:14" ht="24" customHeight="1" outlineLevel="2" x14ac:dyDescent="0.25">
      <c r="A49" s="197"/>
      <c r="B49" s="196"/>
      <c r="C49" s="186"/>
      <c r="D49" s="96" t="s">
        <v>11</v>
      </c>
      <c r="E49" s="83">
        <f t="shared" si="4"/>
        <v>2775945</v>
      </c>
      <c r="F49" s="83">
        <v>1056095</v>
      </c>
      <c r="G49" s="83">
        <f>667330+18500</f>
        <v>685830</v>
      </c>
      <c r="H49" s="83">
        <v>1034020</v>
      </c>
      <c r="I49" s="185"/>
      <c r="J49" s="199"/>
      <c r="K49" s="199"/>
      <c r="L49" s="199"/>
      <c r="M49" s="199"/>
      <c r="N49" s="94"/>
    </row>
    <row r="50" spans="1:14" ht="15" customHeight="1" outlineLevel="2" x14ac:dyDescent="0.25">
      <c r="A50" s="197"/>
      <c r="B50" s="196"/>
      <c r="C50" s="184" t="s">
        <v>257</v>
      </c>
      <c r="D50" s="93" t="s">
        <v>6</v>
      </c>
      <c r="E50" s="57">
        <f t="shared" si="4"/>
        <v>0</v>
      </c>
      <c r="F50" s="57">
        <f>SUM(F51:F52)</f>
        <v>0</v>
      </c>
      <c r="G50" s="57">
        <f>SUM(G51:G52)</f>
        <v>0</v>
      </c>
      <c r="H50" s="57">
        <f>SUM(H51:H52)</f>
        <v>0</v>
      </c>
      <c r="I50" s="185"/>
      <c r="J50" s="199"/>
      <c r="K50" s="199"/>
      <c r="L50" s="199"/>
      <c r="M50" s="199"/>
      <c r="N50" s="94"/>
    </row>
    <row r="51" spans="1:14" ht="15" customHeight="1" outlineLevel="2" x14ac:dyDescent="0.25">
      <c r="A51" s="197"/>
      <c r="B51" s="196"/>
      <c r="C51" s="185"/>
      <c r="D51" s="96" t="s">
        <v>10</v>
      </c>
      <c r="E51" s="83">
        <f t="shared" si="4"/>
        <v>0</v>
      </c>
      <c r="F51" s="83"/>
      <c r="G51" s="83"/>
      <c r="H51" s="83"/>
      <c r="I51" s="185"/>
      <c r="J51" s="199"/>
      <c r="K51" s="199"/>
      <c r="L51" s="199"/>
      <c r="M51" s="199"/>
      <c r="N51" s="94"/>
    </row>
    <row r="52" spans="1:14" ht="15" customHeight="1" outlineLevel="2" x14ac:dyDescent="0.25">
      <c r="A52" s="197"/>
      <c r="B52" s="196"/>
      <c r="C52" s="186"/>
      <c r="D52" s="96" t="s">
        <v>11</v>
      </c>
      <c r="E52" s="83">
        <f t="shared" si="4"/>
        <v>0</v>
      </c>
      <c r="F52" s="83"/>
      <c r="G52" s="83"/>
      <c r="H52" s="87"/>
      <c r="I52" s="186"/>
      <c r="J52" s="200"/>
      <c r="K52" s="200"/>
      <c r="L52" s="200"/>
      <c r="M52" s="200"/>
      <c r="N52" s="94"/>
    </row>
    <row r="53" spans="1:14" ht="15" customHeight="1" outlineLevel="1" x14ac:dyDescent="0.25">
      <c r="A53" s="201" t="s">
        <v>50</v>
      </c>
      <c r="B53" s="213" t="s">
        <v>17</v>
      </c>
      <c r="C53" s="184"/>
      <c r="D53" s="93" t="s">
        <v>6</v>
      </c>
      <c r="E53" s="57">
        <f t="shared" si="4"/>
        <v>4491092</v>
      </c>
      <c r="F53" s="57">
        <f>SUM(F54:F55)</f>
        <v>3495102</v>
      </c>
      <c r="G53" s="57">
        <f>SUM(G54:G55)</f>
        <v>195000</v>
      </c>
      <c r="H53" s="57">
        <f>SUM(H54:H55)</f>
        <v>800990</v>
      </c>
      <c r="I53" s="184" t="s">
        <v>100</v>
      </c>
      <c r="J53" s="198" t="s">
        <v>9</v>
      </c>
      <c r="K53" s="198" t="s">
        <v>101</v>
      </c>
      <c r="L53" s="198" t="s">
        <v>102</v>
      </c>
      <c r="M53" s="214" t="s">
        <v>102</v>
      </c>
      <c r="N53" s="94"/>
    </row>
    <row r="54" spans="1:14" ht="15" customHeight="1" outlineLevel="1" x14ac:dyDescent="0.25">
      <c r="A54" s="201"/>
      <c r="B54" s="213"/>
      <c r="C54" s="185"/>
      <c r="D54" s="93" t="s">
        <v>10</v>
      </c>
      <c r="E54" s="57">
        <f t="shared" si="4"/>
        <v>625000</v>
      </c>
      <c r="F54" s="57">
        <f t="shared" ref="F54:H55" si="8">F63+F72+F81+F90</f>
        <v>625000</v>
      </c>
      <c r="G54" s="57">
        <f t="shared" si="8"/>
        <v>0</v>
      </c>
      <c r="H54" s="57">
        <f t="shared" si="8"/>
        <v>0</v>
      </c>
      <c r="I54" s="185"/>
      <c r="J54" s="199"/>
      <c r="K54" s="199"/>
      <c r="L54" s="199"/>
      <c r="M54" s="215"/>
      <c r="N54" s="94"/>
    </row>
    <row r="55" spans="1:14" ht="15" customHeight="1" outlineLevel="1" x14ac:dyDescent="0.25">
      <c r="A55" s="201"/>
      <c r="B55" s="213"/>
      <c r="C55" s="186"/>
      <c r="D55" s="93" t="s">
        <v>11</v>
      </c>
      <c r="E55" s="57">
        <f t="shared" si="4"/>
        <v>3866092</v>
      </c>
      <c r="F55" s="57">
        <f t="shared" si="8"/>
        <v>2870102</v>
      </c>
      <c r="G55" s="57">
        <f t="shared" si="8"/>
        <v>195000</v>
      </c>
      <c r="H55" s="57">
        <f t="shared" si="8"/>
        <v>800990</v>
      </c>
      <c r="I55" s="185"/>
      <c r="J55" s="199"/>
      <c r="K55" s="199"/>
      <c r="L55" s="199"/>
      <c r="M55" s="215"/>
      <c r="N55" s="94"/>
    </row>
    <row r="56" spans="1:14" s="95" customFormat="1" ht="24" customHeight="1" outlineLevel="1" x14ac:dyDescent="0.2">
      <c r="A56" s="201"/>
      <c r="B56" s="213"/>
      <c r="C56" s="184" t="s">
        <v>256</v>
      </c>
      <c r="D56" s="93" t="s">
        <v>6</v>
      </c>
      <c r="E56" s="57">
        <f t="shared" si="4"/>
        <v>4491092</v>
      </c>
      <c r="F56" s="57">
        <f>SUM(F57:F58)</f>
        <v>3495102</v>
      </c>
      <c r="G56" s="57">
        <f>SUM(G57:G58)</f>
        <v>195000</v>
      </c>
      <c r="H56" s="57">
        <f>SUM(H57:H58)</f>
        <v>800990</v>
      </c>
      <c r="I56" s="185"/>
      <c r="J56" s="199"/>
      <c r="K56" s="199"/>
      <c r="L56" s="199"/>
      <c r="M56" s="215"/>
      <c r="N56" s="94"/>
    </row>
    <row r="57" spans="1:14" s="95" customFormat="1" ht="24" customHeight="1" outlineLevel="1" x14ac:dyDescent="0.2">
      <c r="A57" s="201"/>
      <c r="B57" s="213"/>
      <c r="C57" s="185"/>
      <c r="D57" s="93" t="s">
        <v>10</v>
      </c>
      <c r="E57" s="57">
        <f t="shared" si="4"/>
        <v>625000</v>
      </c>
      <c r="F57" s="57">
        <f t="shared" ref="F57:H58" si="9">F66+F75+F84+F93</f>
        <v>625000</v>
      </c>
      <c r="G57" s="57">
        <f t="shared" si="9"/>
        <v>0</v>
      </c>
      <c r="H57" s="57">
        <f t="shared" si="9"/>
        <v>0</v>
      </c>
      <c r="I57" s="185"/>
      <c r="J57" s="199"/>
      <c r="K57" s="199"/>
      <c r="L57" s="199"/>
      <c r="M57" s="215"/>
      <c r="N57" s="94"/>
    </row>
    <row r="58" spans="1:14" s="95" customFormat="1" ht="24" customHeight="1" outlineLevel="1" x14ac:dyDescent="0.2">
      <c r="A58" s="201"/>
      <c r="B58" s="213"/>
      <c r="C58" s="186"/>
      <c r="D58" s="93" t="s">
        <v>11</v>
      </c>
      <c r="E58" s="57">
        <f t="shared" ref="E58:E89" si="10">SUM(F58:H58)</f>
        <v>3866092</v>
      </c>
      <c r="F58" s="57">
        <f t="shared" si="9"/>
        <v>2870102</v>
      </c>
      <c r="G58" s="57">
        <f t="shared" si="9"/>
        <v>195000</v>
      </c>
      <c r="H58" s="57">
        <f t="shared" si="9"/>
        <v>800990</v>
      </c>
      <c r="I58" s="185"/>
      <c r="J58" s="199"/>
      <c r="K58" s="199"/>
      <c r="L58" s="199"/>
      <c r="M58" s="215"/>
      <c r="N58" s="94"/>
    </row>
    <row r="59" spans="1:14" ht="15" customHeight="1" outlineLevel="1" x14ac:dyDescent="0.25">
      <c r="A59" s="201"/>
      <c r="B59" s="213"/>
      <c r="C59" s="184" t="s">
        <v>257</v>
      </c>
      <c r="D59" s="93" t="s">
        <v>6</v>
      </c>
      <c r="E59" s="57">
        <f t="shared" si="10"/>
        <v>0</v>
      </c>
      <c r="F59" s="57">
        <f>SUM(F60:F61)</f>
        <v>0</v>
      </c>
      <c r="G59" s="57">
        <f>SUM(G60:G61)</f>
        <v>0</v>
      </c>
      <c r="H59" s="57">
        <f>SUM(H60:H61)</f>
        <v>0</v>
      </c>
      <c r="I59" s="185"/>
      <c r="J59" s="199"/>
      <c r="K59" s="199"/>
      <c r="L59" s="199"/>
      <c r="M59" s="215"/>
      <c r="N59" s="94"/>
    </row>
    <row r="60" spans="1:14" ht="15" customHeight="1" outlineLevel="1" x14ac:dyDescent="0.25">
      <c r="A60" s="201"/>
      <c r="B60" s="213"/>
      <c r="C60" s="185"/>
      <c r="D60" s="93" t="s">
        <v>10</v>
      </c>
      <c r="E60" s="57">
        <f t="shared" si="10"/>
        <v>0</v>
      </c>
      <c r="F60" s="57">
        <f t="shared" ref="F60:H61" si="11">F69+F78+F87+F96</f>
        <v>0</v>
      </c>
      <c r="G60" s="57">
        <f t="shared" si="11"/>
        <v>0</v>
      </c>
      <c r="H60" s="57">
        <f t="shared" si="11"/>
        <v>0</v>
      </c>
      <c r="I60" s="185"/>
      <c r="J60" s="199"/>
      <c r="K60" s="199"/>
      <c r="L60" s="199"/>
      <c r="M60" s="215"/>
      <c r="N60" s="94"/>
    </row>
    <row r="61" spans="1:14" ht="15" customHeight="1" outlineLevel="1" x14ac:dyDescent="0.25">
      <c r="A61" s="201"/>
      <c r="B61" s="213"/>
      <c r="C61" s="186"/>
      <c r="D61" s="93" t="s">
        <v>11</v>
      </c>
      <c r="E61" s="57">
        <f t="shared" si="10"/>
        <v>0</v>
      </c>
      <c r="F61" s="57">
        <f t="shared" si="11"/>
        <v>0</v>
      </c>
      <c r="G61" s="57">
        <f t="shared" si="11"/>
        <v>0</v>
      </c>
      <c r="H61" s="57">
        <f t="shared" si="11"/>
        <v>0</v>
      </c>
      <c r="I61" s="186"/>
      <c r="J61" s="200"/>
      <c r="K61" s="200"/>
      <c r="L61" s="200"/>
      <c r="M61" s="216"/>
      <c r="N61" s="94"/>
    </row>
    <row r="62" spans="1:14" ht="18" customHeight="1" outlineLevel="2" x14ac:dyDescent="0.25">
      <c r="A62" s="197" t="s">
        <v>52</v>
      </c>
      <c r="B62" s="196" t="s">
        <v>19</v>
      </c>
      <c r="C62" s="184"/>
      <c r="D62" s="93" t="s">
        <v>6</v>
      </c>
      <c r="E62" s="57">
        <f t="shared" si="10"/>
        <v>212600</v>
      </c>
      <c r="F62" s="57">
        <f>SUM(F63:F64)</f>
        <v>212600</v>
      </c>
      <c r="G62" s="57">
        <f>SUM(G63:G64)</f>
        <v>0</v>
      </c>
      <c r="H62" s="57">
        <f>SUM(H63:H64)</f>
        <v>0</v>
      </c>
      <c r="I62" s="184" t="s">
        <v>20</v>
      </c>
      <c r="J62" s="198" t="s">
        <v>9</v>
      </c>
      <c r="K62" s="198">
        <v>100</v>
      </c>
      <c r="L62" s="198">
        <v>100</v>
      </c>
      <c r="M62" s="198">
        <v>100</v>
      </c>
      <c r="N62" s="94"/>
    </row>
    <row r="63" spans="1:14" ht="18" customHeight="1" outlineLevel="2" x14ac:dyDescent="0.25">
      <c r="A63" s="197"/>
      <c r="B63" s="196"/>
      <c r="C63" s="185"/>
      <c r="D63" s="96" t="s">
        <v>10</v>
      </c>
      <c r="E63" s="83">
        <f t="shared" si="10"/>
        <v>0</v>
      </c>
      <c r="F63" s="83">
        <v>0</v>
      </c>
      <c r="G63" s="83">
        <v>0</v>
      </c>
      <c r="H63" s="83">
        <v>0</v>
      </c>
      <c r="I63" s="185"/>
      <c r="J63" s="199"/>
      <c r="K63" s="199"/>
      <c r="L63" s="199"/>
      <c r="M63" s="199"/>
      <c r="N63" s="94"/>
    </row>
    <row r="64" spans="1:14" ht="18" customHeight="1" outlineLevel="2" x14ac:dyDescent="0.25">
      <c r="A64" s="197"/>
      <c r="B64" s="196"/>
      <c r="C64" s="186"/>
      <c r="D64" s="96" t="s">
        <v>11</v>
      </c>
      <c r="E64" s="83">
        <f t="shared" si="10"/>
        <v>212600</v>
      </c>
      <c r="F64" s="83">
        <v>212600</v>
      </c>
      <c r="G64" s="83">
        <v>0</v>
      </c>
      <c r="H64" s="83">
        <v>0</v>
      </c>
      <c r="I64" s="185"/>
      <c r="J64" s="199"/>
      <c r="K64" s="199"/>
      <c r="L64" s="199"/>
      <c r="M64" s="199"/>
      <c r="N64" s="94"/>
    </row>
    <row r="65" spans="1:14" ht="24" customHeight="1" outlineLevel="2" x14ac:dyDescent="0.25">
      <c r="A65" s="197"/>
      <c r="B65" s="196"/>
      <c r="C65" s="184" t="s">
        <v>256</v>
      </c>
      <c r="D65" s="93" t="s">
        <v>6</v>
      </c>
      <c r="E65" s="57">
        <f t="shared" si="10"/>
        <v>212600</v>
      </c>
      <c r="F65" s="57">
        <f>SUM(F66:F67)</f>
        <v>212600</v>
      </c>
      <c r="G65" s="57">
        <f>SUM(G66:G67)</f>
        <v>0</v>
      </c>
      <c r="H65" s="57">
        <f>SUM(H66:H67)</f>
        <v>0</v>
      </c>
      <c r="I65" s="185"/>
      <c r="J65" s="199"/>
      <c r="K65" s="199"/>
      <c r="L65" s="199"/>
      <c r="M65" s="199"/>
      <c r="N65" s="94"/>
    </row>
    <row r="66" spans="1:14" ht="24" customHeight="1" outlineLevel="2" x14ac:dyDescent="0.25">
      <c r="A66" s="197"/>
      <c r="B66" s="196"/>
      <c r="C66" s="185"/>
      <c r="D66" s="96" t="s">
        <v>10</v>
      </c>
      <c r="E66" s="83">
        <f t="shared" si="10"/>
        <v>0</v>
      </c>
      <c r="F66" s="83">
        <v>0</v>
      </c>
      <c r="G66" s="83">
        <v>0</v>
      </c>
      <c r="H66" s="83">
        <v>0</v>
      </c>
      <c r="I66" s="185"/>
      <c r="J66" s="199"/>
      <c r="K66" s="199"/>
      <c r="L66" s="199"/>
      <c r="M66" s="199"/>
      <c r="N66" s="94"/>
    </row>
    <row r="67" spans="1:14" ht="24" customHeight="1" outlineLevel="2" x14ac:dyDescent="0.25">
      <c r="A67" s="197"/>
      <c r="B67" s="196"/>
      <c r="C67" s="186"/>
      <c r="D67" s="96" t="s">
        <v>11</v>
      </c>
      <c r="E67" s="83">
        <f t="shared" si="10"/>
        <v>212600</v>
      </c>
      <c r="F67" s="83">
        <v>212600</v>
      </c>
      <c r="G67" s="83">
        <v>0</v>
      </c>
      <c r="H67" s="83">
        <v>0</v>
      </c>
      <c r="I67" s="185"/>
      <c r="J67" s="199"/>
      <c r="K67" s="199"/>
      <c r="L67" s="199"/>
      <c r="M67" s="199"/>
      <c r="N67" s="94"/>
    </row>
    <row r="68" spans="1:14" ht="15" customHeight="1" outlineLevel="2" x14ac:dyDescent="0.25">
      <c r="A68" s="197"/>
      <c r="B68" s="196"/>
      <c r="C68" s="184" t="s">
        <v>257</v>
      </c>
      <c r="D68" s="93" t="s">
        <v>6</v>
      </c>
      <c r="E68" s="57">
        <f t="shared" si="10"/>
        <v>0</v>
      </c>
      <c r="F68" s="57">
        <f>SUM(F69:F70)</f>
        <v>0</v>
      </c>
      <c r="G68" s="57">
        <f>SUM(G69:G70)</f>
        <v>0</v>
      </c>
      <c r="H68" s="57">
        <f>SUM(H69:H70)</f>
        <v>0</v>
      </c>
      <c r="I68" s="185"/>
      <c r="J68" s="199"/>
      <c r="K68" s="199"/>
      <c r="L68" s="199"/>
      <c r="M68" s="199"/>
      <c r="N68" s="94"/>
    </row>
    <row r="69" spans="1:14" ht="15" customHeight="1" outlineLevel="2" x14ac:dyDescent="0.25">
      <c r="A69" s="197"/>
      <c r="B69" s="196"/>
      <c r="C69" s="185"/>
      <c r="D69" s="96" t="s">
        <v>10</v>
      </c>
      <c r="E69" s="83">
        <f t="shared" si="10"/>
        <v>0</v>
      </c>
      <c r="F69" s="83"/>
      <c r="G69" s="83"/>
      <c r="H69" s="83"/>
      <c r="I69" s="185"/>
      <c r="J69" s="199"/>
      <c r="K69" s="199"/>
      <c r="L69" s="199"/>
      <c r="M69" s="199"/>
      <c r="N69" s="94"/>
    </row>
    <row r="70" spans="1:14" ht="15" customHeight="1" outlineLevel="2" x14ac:dyDescent="0.25">
      <c r="A70" s="197"/>
      <c r="B70" s="196"/>
      <c r="C70" s="186"/>
      <c r="D70" s="96" t="s">
        <v>11</v>
      </c>
      <c r="E70" s="83">
        <f t="shared" si="10"/>
        <v>0</v>
      </c>
      <c r="F70" s="83"/>
      <c r="G70" s="83"/>
      <c r="H70" s="83"/>
      <c r="I70" s="186"/>
      <c r="J70" s="200"/>
      <c r="K70" s="200"/>
      <c r="L70" s="200"/>
      <c r="M70" s="200"/>
      <c r="N70" s="94"/>
    </row>
    <row r="71" spans="1:14" ht="18" customHeight="1" outlineLevel="2" x14ac:dyDescent="0.25">
      <c r="A71" s="197" t="s">
        <v>53</v>
      </c>
      <c r="B71" s="196" t="s">
        <v>51</v>
      </c>
      <c r="C71" s="184"/>
      <c r="D71" s="93" t="s">
        <v>6</v>
      </c>
      <c r="E71" s="57">
        <f t="shared" si="10"/>
        <v>575000</v>
      </c>
      <c r="F71" s="57">
        <f>SUM(F72:F73)</f>
        <v>180000</v>
      </c>
      <c r="G71" s="57">
        <f>SUM(G72:G73)</f>
        <v>195000</v>
      </c>
      <c r="H71" s="57">
        <f>SUM(H72:H73)</f>
        <v>200000</v>
      </c>
      <c r="I71" s="184" t="s">
        <v>18</v>
      </c>
      <c r="J71" s="198" t="s">
        <v>9</v>
      </c>
      <c r="K71" s="198">
        <v>100</v>
      </c>
      <c r="L71" s="198">
        <v>100</v>
      </c>
      <c r="M71" s="198">
        <v>100</v>
      </c>
      <c r="N71" s="94"/>
    </row>
    <row r="72" spans="1:14" ht="18" customHeight="1" outlineLevel="2" x14ac:dyDescent="0.25">
      <c r="A72" s="197"/>
      <c r="B72" s="196"/>
      <c r="C72" s="185"/>
      <c r="D72" s="96" t="s">
        <v>10</v>
      </c>
      <c r="E72" s="83">
        <f t="shared" si="10"/>
        <v>0</v>
      </c>
      <c r="F72" s="83">
        <v>0</v>
      </c>
      <c r="G72" s="83">
        <v>0</v>
      </c>
      <c r="H72" s="83">
        <v>0</v>
      </c>
      <c r="I72" s="185"/>
      <c r="J72" s="199"/>
      <c r="K72" s="199"/>
      <c r="L72" s="199"/>
      <c r="M72" s="199"/>
      <c r="N72" s="94"/>
    </row>
    <row r="73" spans="1:14" ht="18" customHeight="1" outlineLevel="2" x14ac:dyDescent="0.25">
      <c r="A73" s="197"/>
      <c r="B73" s="196"/>
      <c r="C73" s="186"/>
      <c r="D73" s="96" t="s">
        <v>11</v>
      </c>
      <c r="E73" s="83">
        <f t="shared" si="10"/>
        <v>575000</v>
      </c>
      <c r="F73" s="83">
        <v>180000</v>
      </c>
      <c r="G73" s="83">
        <v>195000</v>
      </c>
      <c r="H73" s="83">
        <v>200000</v>
      </c>
      <c r="I73" s="185"/>
      <c r="J73" s="199"/>
      <c r="K73" s="199"/>
      <c r="L73" s="199"/>
      <c r="M73" s="199"/>
      <c r="N73" s="94"/>
    </row>
    <row r="74" spans="1:14" ht="24" customHeight="1" outlineLevel="2" x14ac:dyDescent="0.25">
      <c r="A74" s="197"/>
      <c r="B74" s="196"/>
      <c r="C74" s="184" t="s">
        <v>256</v>
      </c>
      <c r="D74" s="93" t="s">
        <v>6</v>
      </c>
      <c r="E74" s="57">
        <f t="shared" si="10"/>
        <v>575000</v>
      </c>
      <c r="F74" s="57">
        <f>SUM(F75:F76)</f>
        <v>180000</v>
      </c>
      <c r="G74" s="57">
        <f>SUM(G75:G76)</f>
        <v>195000</v>
      </c>
      <c r="H74" s="57">
        <f>SUM(H75:H76)</f>
        <v>200000</v>
      </c>
      <c r="I74" s="185"/>
      <c r="J74" s="199"/>
      <c r="K74" s="199"/>
      <c r="L74" s="199"/>
      <c r="M74" s="199"/>
      <c r="N74" s="94"/>
    </row>
    <row r="75" spans="1:14" ht="24" customHeight="1" outlineLevel="2" x14ac:dyDescent="0.25">
      <c r="A75" s="197"/>
      <c r="B75" s="196"/>
      <c r="C75" s="185"/>
      <c r="D75" s="96" t="s">
        <v>10</v>
      </c>
      <c r="E75" s="83">
        <f t="shared" si="10"/>
        <v>0</v>
      </c>
      <c r="F75" s="83">
        <v>0</v>
      </c>
      <c r="G75" s="83">
        <v>0</v>
      </c>
      <c r="H75" s="83">
        <v>0</v>
      </c>
      <c r="I75" s="185"/>
      <c r="J75" s="199"/>
      <c r="K75" s="199"/>
      <c r="L75" s="199"/>
      <c r="M75" s="199"/>
      <c r="N75" s="94"/>
    </row>
    <row r="76" spans="1:14" ht="24" customHeight="1" outlineLevel="2" x14ac:dyDescent="0.25">
      <c r="A76" s="197"/>
      <c r="B76" s="196"/>
      <c r="C76" s="186"/>
      <c r="D76" s="96" t="s">
        <v>11</v>
      </c>
      <c r="E76" s="83">
        <f t="shared" si="10"/>
        <v>575000</v>
      </c>
      <c r="F76" s="83">
        <v>180000</v>
      </c>
      <c r="G76" s="83">
        <v>195000</v>
      </c>
      <c r="H76" s="83">
        <v>200000</v>
      </c>
      <c r="I76" s="185"/>
      <c r="J76" s="199"/>
      <c r="K76" s="199"/>
      <c r="L76" s="199"/>
      <c r="M76" s="199"/>
      <c r="N76" s="94"/>
    </row>
    <row r="77" spans="1:14" ht="15" customHeight="1" outlineLevel="2" x14ac:dyDescent="0.25">
      <c r="A77" s="197"/>
      <c r="B77" s="196"/>
      <c r="C77" s="184" t="s">
        <v>257</v>
      </c>
      <c r="D77" s="93" t="s">
        <v>6</v>
      </c>
      <c r="E77" s="57">
        <f t="shared" si="10"/>
        <v>0</v>
      </c>
      <c r="F77" s="57">
        <f>SUM(F78:F79)</f>
        <v>0</v>
      </c>
      <c r="G77" s="57">
        <f>SUM(G78:G79)</f>
        <v>0</v>
      </c>
      <c r="H77" s="57">
        <f>SUM(H78:H79)</f>
        <v>0</v>
      </c>
      <c r="I77" s="185"/>
      <c r="J77" s="199"/>
      <c r="K77" s="199"/>
      <c r="L77" s="199"/>
      <c r="M77" s="199"/>
      <c r="N77" s="94"/>
    </row>
    <row r="78" spans="1:14" ht="15" customHeight="1" outlineLevel="2" x14ac:dyDescent="0.25">
      <c r="A78" s="197"/>
      <c r="B78" s="196"/>
      <c r="C78" s="185"/>
      <c r="D78" s="96" t="s">
        <v>10</v>
      </c>
      <c r="E78" s="83">
        <f t="shared" si="10"/>
        <v>0</v>
      </c>
      <c r="F78" s="83"/>
      <c r="G78" s="83"/>
      <c r="H78" s="83"/>
      <c r="I78" s="185"/>
      <c r="J78" s="199"/>
      <c r="K78" s="199"/>
      <c r="L78" s="199"/>
      <c r="M78" s="199"/>
      <c r="N78" s="94"/>
    </row>
    <row r="79" spans="1:14" ht="15" customHeight="1" outlineLevel="2" x14ac:dyDescent="0.25">
      <c r="A79" s="197"/>
      <c r="B79" s="196"/>
      <c r="C79" s="186"/>
      <c r="D79" s="96" t="s">
        <v>11</v>
      </c>
      <c r="E79" s="83">
        <f t="shared" si="10"/>
        <v>0</v>
      </c>
      <c r="F79" s="83"/>
      <c r="G79" s="83"/>
      <c r="H79" s="83"/>
      <c r="I79" s="186"/>
      <c r="J79" s="200"/>
      <c r="K79" s="200"/>
      <c r="L79" s="200"/>
      <c r="M79" s="200"/>
      <c r="N79" s="94"/>
    </row>
    <row r="80" spans="1:14" ht="21" customHeight="1" outlineLevel="2" x14ac:dyDescent="0.25">
      <c r="A80" s="197" t="s">
        <v>54</v>
      </c>
      <c r="B80" s="196" t="s">
        <v>62</v>
      </c>
      <c r="C80" s="184"/>
      <c r="D80" s="93" t="s">
        <v>6</v>
      </c>
      <c r="E80" s="57">
        <f t="shared" si="10"/>
        <v>2968492</v>
      </c>
      <c r="F80" s="57">
        <f>SUM(F81:F82)</f>
        <v>2652502</v>
      </c>
      <c r="G80" s="57">
        <f>SUM(G81:G82)</f>
        <v>0</v>
      </c>
      <c r="H80" s="57">
        <f>SUM(H81:H82)</f>
        <v>315990</v>
      </c>
      <c r="I80" s="184" t="s">
        <v>95</v>
      </c>
      <c r="J80" s="198" t="s">
        <v>9</v>
      </c>
      <c r="K80" s="198">
        <v>100</v>
      </c>
      <c r="L80" s="198">
        <v>100</v>
      </c>
      <c r="M80" s="198">
        <v>100</v>
      </c>
      <c r="N80" s="94"/>
    </row>
    <row r="81" spans="1:14" ht="21" customHeight="1" outlineLevel="2" x14ac:dyDescent="0.25">
      <c r="A81" s="197"/>
      <c r="B81" s="196"/>
      <c r="C81" s="185"/>
      <c r="D81" s="96" t="s">
        <v>10</v>
      </c>
      <c r="E81" s="83">
        <f t="shared" si="10"/>
        <v>625000</v>
      </c>
      <c r="F81" s="83">
        <f>625000</f>
        <v>625000</v>
      </c>
      <c r="G81" s="83">
        <v>0</v>
      </c>
      <c r="H81" s="83">
        <v>0</v>
      </c>
      <c r="I81" s="185"/>
      <c r="J81" s="199"/>
      <c r="K81" s="199"/>
      <c r="L81" s="199"/>
      <c r="M81" s="199"/>
      <c r="N81" s="94"/>
    </row>
    <row r="82" spans="1:14" ht="21" customHeight="1" outlineLevel="2" x14ac:dyDescent="0.25">
      <c r="A82" s="197"/>
      <c r="B82" s="196"/>
      <c r="C82" s="186"/>
      <c r="D82" s="96" t="s">
        <v>11</v>
      </c>
      <c r="E82" s="83">
        <f t="shared" si="10"/>
        <v>2343492</v>
      </c>
      <c r="F82" s="83">
        <v>2027502</v>
      </c>
      <c r="G82" s="83">
        <v>0</v>
      </c>
      <c r="H82" s="83">
        <v>315990</v>
      </c>
      <c r="I82" s="185"/>
      <c r="J82" s="199"/>
      <c r="K82" s="199"/>
      <c r="L82" s="199"/>
      <c r="M82" s="199"/>
      <c r="N82" s="94"/>
    </row>
    <row r="83" spans="1:14" ht="24" customHeight="1" outlineLevel="2" x14ac:dyDescent="0.25">
      <c r="A83" s="197"/>
      <c r="B83" s="196"/>
      <c r="C83" s="184" t="s">
        <v>256</v>
      </c>
      <c r="D83" s="93" t="s">
        <v>6</v>
      </c>
      <c r="E83" s="57">
        <f t="shared" si="10"/>
        <v>2968492</v>
      </c>
      <c r="F83" s="57">
        <f>SUM(F84:F85)</f>
        <v>2652502</v>
      </c>
      <c r="G83" s="57">
        <f>SUM(G84:G85)</f>
        <v>0</v>
      </c>
      <c r="H83" s="57">
        <f>SUM(H84:H85)</f>
        <v>315990</v>
      </c>
      <c r="I83" s="185"/>
      <c r="J83" s="199"/>
      <c r="K83" s="199"/>
      <c r="L83" s="199"/>
      <c r="M83" s="199"/>
      <c r="N83" s="94"/>
    </row>
    <row r="84" spans="1:14" ht="24" customHeight="1" outlineLevel="2" x14ac:dyDescent="0.25">
      <c r="A84" s="197"/>
      <c r="B84" s="196"/>
      <c r="C84" s="185"/>
      <c r="D84" s="96" t="s">
        <v>10</v>
      </c>
      <c r="E84" s="83">
        <f t="shared" si="10"/>
        <v>625000</v>
      </c>
      <c r="F84" s="83">
        <f>625000</f>
        <v>625000</v>
      </c>
      <c r="G84" s="83">
        <v>0</v>
      </c>
      <c r="H84" s="83">
        <v>0</v>
      </c>
      <c r="I84" s="185"/>
      <c r="J84" s="199"/>
      <c r="K84" s="199"/>
      <c r="L84" s="199"/>
      <c r="M84" s="199"/>
      <c r="N84" s="94"/>
    </row>
    <row r="85" spans="1:14" ht="24" customHeight="1" outlineLevel="2" x14ac:dyDescent="0.25">
      <c r="A85" s="197"/>
      <c r="B85" s="196"/>
      <c r="C85" s="186"/>
      <c r="D85" s="96" t="s">
        <v>11</v>
      </c>
      <c r="E85" s="83">
        <f t="shared" si="10"/>
        <v>2343492</v>
      </c>
      <c r="F85" s="83">
        <v>2027502</v>
      </c>
      <c r="G85" s="83">
        <v>0</v>
      </c>
      <c r="H85" s="83">
        <v>315990</v>
      </c>
      <c r="I85" s="185"/>
      <c r="J85" s="199"/>
      <c r="K85" s="199"/>
      <c r="L85" s="199"/>
      <c r="M85" s="199"/>
      <c r="N85" s="94"/>
    </row>
    <row r="86" spans="1:14" ht="15" customHeight="1" outlineLevel="2" x14ac:dyDescent="0.25">
      <c r="A86" s="197"/>
      <c r="B86" s="196"/>
      <c r="C86" s="184" t="s">
        <v>257</v>
      </c>
      <c r="D86" s="93" t="s">
        <v>6</v>
      </c>
      <c r="E86" s="57">
        <f t="shared" si="10"/>
        <v>0</v>
      </c>
      <c r="F86" s="57">
        <f>SUM(F87:F88)</f>
        <v>0</v>
      </c>
      <c r="G86" s="57">
        <f>SUM(G87:G88)</f>
        <v>0</v>
      </c>
      <c r="H86" s="57">
        <f>SUM(H87:H88)</f>
        <v>0</v>
      </c>
      <c r="I86" s="185"/>
      <c r="J86" s="199"/>
      <c r="K86" s="199"/>
      <c r="L86" s="199"/>
      <c r="M86" s="199"/>
      <c r="N86" s="94"/>
    </row>
    <row r="87" spans="1:14" ht="15" customHeight="1" outlineLevel="2" x14ac:dyDescent="0.25">
      <c r="A87" s="197"/>
      <c r="B87" s="196"/>
      <c r="C87" s="185"/>
      <c r="D87" s="96" t="s">
        <v>10</v>
      </c>
      <c r="E87" s="83">
        <f t="shared" si="10"/>
        <v>0</v>
      </c>
      <c r="F87" s="83"/>
      <c r="G87" s="83"/>
      <c r="H87" s="83"/>
      <c r="I87" s="185"/>
      <c r="J87" s="199"/>
      <c r="K87" s="199"/>
      <c r="L87" s="199"/>
      <c r="M87" s="199"/>
      <c r="N87" s="94"/>
    </row>
    <row r="88" spans="1:14" ht="15" customHeight="1" outlineLevel="2" x14ac:dyDescent="0.25">
      <c r="A88" s="197"/>
      <c r="B88" s="196"/>
      <c r="C88" s="186"/>
      <c r="D88" s="96" t="s">
        <v>11</v>
      </c>
      <c r="E88" s="83">
        <f t="shared" si="10"/>
        <v>0</v>
      </c>
      <c r="F88" s="83"/>
      <c r="G88" s="83"/>
      <c r="H88" s="83"/>
      <c r="I88" s="186"/>
      <c r="J88" s="200"/>
      <c r="K88" s="200"/>
      <c r="L88" s="200"/>
      <c r="M88" s="200"/>
      <c r="N88" s="94"/>
    </row>
    <row r="89" spans="1:14" ht="21" customHeight="1" outlineLevel="2" x14ac:dyDescent="0.25">
      <c r="A89" s="197" t="s">
        <v>55</v>
      </c>
      <c r="B89" s="196" t="s">
        <v>63</v>
      </c>
      <c r="C89" s="184"/>
      <c r="D89" s="93" t="s">
        <v>6</v>
      </c>
      <c r="E89" s="57">
        <f t="shared" si="10"/>
        <v>735000</v>
      </c>
      <c r="F89" s="57">
        <f>SUM(F90:F91)</f>
        <v>450000</v>
      </c>
      <c r="G89" s="57">
        <f>SUM(G90:G91)</f>
        <v>0</v>
      </c>
      <c r="H89" s="57">
        <f>SUM(H90:H91)</f>
        <v>285000</v>
      </c>
      <c r="I89" s="184" t="s">
        <v>95</v>
      </c>
      <c r="J89" s="198" t="s">
        <v>9</v>
      </c>
      <c r="K89" s="198">
        <v>100</v>
      </c>
      <c r="L89" s="198">
        <v>100</v>
      </c>
      <c r="M89" s="198">
        <v>100</v>
      </c>
      <c r="N89" s="94"/>
    </row>
    <row r="90" spans="1:14" ht="21" customHeight="1" outlineLevel="2" x14ac:dyDescent="0.25">
      <c r="A90" s="197"/>
      <c r="B90" s="196"/>
      <c r="C90" s="185"/>
      <c r="D90" s="96" t="s">
        <v>10</v>
      </c>
      <c r="E90" s="83">
        <f t="shared" ref="E90:E112" si="12">SUM(F90:H90)</f>
        <v>0</v>
      </c>
      <c r="F90" s="83">
        <v>0</v>
      </c>
      <c r="G90" s="83">
        <v>0</v>
      </c>
      <c r="H90" s="83">
        <v>0</v>
      </c>
      <c r="I90" s="185"/>
      <c r="J90" s="199"/>
      <c r="K90" s="199"/>
      <c r="L90" s="199"/>
      <c r="M90" s="199"/>
      <c r="N90" s="94"/>
    </row>
    <row r="91" spans="1:14" ht="21" customHeight="1" outlineLevel="2" x14ac:dyDescent="0.25">
      <c r="A91" s="197"/>
      <c r="B91" s="196"/>
      <c r="C91" s="186"/>
      <c r="D91" s="96" t="s">
        <v>11</v>
      </c>
      <c r="E91" s="83">
        <f t="shared" si="12"/>
        <v>735000</v>
      </c>
      <c r="F91" s="83">
        <v>450000</v>
      </c>
      <c r="G91" s="83">
        <v>0</v>
      </c>
      <c r="H91" s="83">
        <v>285000</v>
      </c>
      <c r="I91" s="185"/>
      <c r="J91" s="199"/>
      <c r="K91" s="199"/>
      <c r="L91" s="199"/>
      <c r="M91" s="199"/>
      <c r="N91" s="94"/>
    </row>
    <row r="92" spans="1:14" ht="24" customHeight="1" outlineLevel="2" x14ac:dyDescent="0.25">
      <c r="A92" s="197"/>
      <c r="B92" s="196"/>
      <c r="C92" s="184" t="s">
        <v>256</v>
      </c>
      <c r="D92" s="93" t="s">
        <v>6</v>
      </c>
      <c r="E92" s="57">
        <f t="shared" si="12"/>
        <v>735000</v>
      </c>
      <c r="F92" s="57">
        <f>SUM(F93:F94)</f>
        <v>450000</v>
      </c>
      <c r="G92" s="57">
        <f>SUM(G93:G94)</f>
        <v>0</v>
      </c>
      <c r="H92" s="57">
        <f>SUM(H93:H94)</f>
        <v>285000</v>
      </c>
      <c r="I92" s="185"/>
      <c r="J92" s="199"/>
      <c r="K92" s="199"/>
      <c r="L92" s="199"/>
      <c r="M92" s="199"/>
      <c r="N92" s="94"/>
    </row>
    <row r="93" spans="1:14" ht="24" customHeight="1" outlineLevel="2" x14ac:dyDescent="0.25">
      <c r="A93" s="197"/>
      <c r="B93" s="196"/>
      <c r="C93" s="185"/>
      <c r="D93" s="96" t="s">
        <v>10</v>
      </c>
      <c r="E93" s="83">
        <f t="shared" si="12"/>
        <v>0</v>
      </c>
      <c r="F93" s="83">
        <v>0</v>
      </c>
      <c r="G93" s="83">
        <v>0</v>
      </c>
      <c r="H93" s="83">
        <v>0</v>
      </c>
      <c r="I93" s="185"/>
      <c r="J93" s="199"/>
      <c r="K93" s="199"/>
      <c r="L93" s="199"/>
      <c r="M93" s="199"/>
      <c r="N93" s="94"/>
    </row>
    <row r="94" spans="1:14" ht="24" customHeight="1" outlineLevel="2" x14ac:dyDescent="0.25">
      <c r="A94" s="197"/>
      <c r="B94" s="196"/>
      <c r="C94" s="186"/>
      <c r="D94" s="96" t="s">
        <v>11</v>
      </c>
      <c r="E94" s="83">
        <f t="shared" si="12"/>
        <v>735000</v>
      </c>
      <c r="F94" s="83">
        <v>450000</v>
      </c>
      <c r="G94" s="83">
        <v>0</v>
      </c>
      <c r="H94" s="83">
        <v>285000</v>
      </c>
      <c r="I94" s="185"/>
      <c r="J94" s="199"/>
      <c r="K94" s="199"/>
      <c r="L94" s="199"/>
      <c r="M94" s="199"/>
      <c r="N94" s="94"/>
    </row>
    <row r="95" spans="1:14" ht="15" customHeight="1" outlineLevel="2" x14ac:dyDescent="0.25">
      <c r="A95" s="197"/>
      <c r="B95" s="196"/>
      <c r="C95" s="184" t="s">
        <v>257</v>
      </c>
      <c r="D95" s="93" t="s">
        <v>6</v>
      </c>
      <c r="E95" s="57">
        <f t="shared" si="12"/>
        <v>0</v>
      </c>
      <c r="F95" s="57">
        <f>SUM(F96:F97)</f>
        <v>0</v>
      </c>
      <c r="G95" s="57">
        <f>SUM(G96:G97)</f>
        <v>0</v>
      </c>
      <c r="H95" s="57">
        <f>SUM(H96:H97)</f>
        <v>0</v>
      </c>
      <c r="I95" s="185"/>
      <c r="J95" s="199"/>
      <c r="K95" s="199"/>
      <c r="L95" s="199"/>
      <c r="M95" s="199"/>
      <c r="N95" s="94"/>
    </row>
    <row r="96" spans="1:14" ht="15" customHeight="1" outlineLevel="2" x14ac:dyDescent="0.25">
      <c r="A96" s="197"/>
      <c r="B96" s="196"/>
      <c r="C96" s="185"/>
      <c r="D96" s="96" t="s">
        <v>10</v>
      </c>
      <c r="E96" s="83">
        <f t="shared" si="12"/>
        <v>0</v>
      </c>
      <c r="F96" s="83"/>
      <c r="G96" s="83"/>
      <c r="H96" s="83"/>
      <c r="I96" s="185"/>
      <c r="J96" s="199"/>
      <c r="K96" s="199"/>
      <c r="L96" s="199"/>
      <c r="M96" s="199"/>
      <c r="N96" s="94"/>
    </row>
    <row r="97" spans="1:14" ht="15" customHeight="1" outlineLevel="2" x14ac:dyDescent="0.25">
      <c r="A97" s="197"/>
      <c r="B97" s="196"/>
      <c r="C97" s="186"/>
      <c r="D97" s="96" t="s">
        <v>11</v>
      </c>
      <c r="E97" s="83">
        <f t="shared" si="12"/>
        <v>0</v>
      </c>
      <c r="F97" s="83"/>
      <c r="G97" s="83"/>
      <c r="H97" s="83"/>
      <c r="I97" s="186"/>
      <c r="J97" s="200"/>
      <c r="K97" s="200"/>
      <c r="L97" s="200"/>
      <c r="M97" s="200"/>
      <c r="N97" s="94"/>
    </row>
    <row r="98" spans="1:14" s="95" customFormat="1" ht="13.5" customHeight="1" outlineLevel="1" collapsed="1" x14ac:dyDescent="0.2">
      <c r="A98" s="201" t="s">
        <v>56</v>
      </c>
      <c r="B98" s="213" t="s">
        <v>21</v>
      </c>
      <c r="C98" s="184"/>
      <c r="D98" s="93" t="s">
        <v>6</v>
      </c>
      <c r="E98" s="57">
        <f t="shared" si="12"/>
        <v>2480000</v>
      </c>
      <c r="F98" s="57">
        <f>SUM(F99:F100)</f>
        <v>520000</v>
      </c>
      <c r="G98" s="57">
        <f>SUM(G99:G100)</f>
        <v>1600000</v>
      </c>
      <c r="H98" s="57">
        <f>SUM(H99:H100)</f>
        <v>360000</v>
      </c>
      <c r="I98" s="184" t="s">
        <v>100</v>
      </c>
      <c r="J98" s="198" t="s">
        <v>9</v>
      </c>
      <c r="K98" s="198" t="s">
        <v>101</v>
      </c>
      <c r="L98" s="198" t="s">
        <v>102</v>
      </c>
      <c r="M98" s="198" t="s">
        <v>102</v>
      </c>
      <c r="N98" s="94"/>
    </row>
    <row r="99" spans="1:14" s="95" customFormat="1" ht="13.5" customHeight="1" outlineLevel="1" x14ac:dyDescent="0.2">
      <c r="A99" s="201"/>
      <c r="B99" s="213"/>
      <c r="C99" s="185"/>
      <c r="D99" s="93" t="s">
        <v>10</v>
      </c>
      <c r="E99" s="57">
        <f t="shared" si="12"/>
        <v>0</v>
      </c>
      <c r="F99" s="57">
        <f t="shared" ref="F99:H100" si="13">F108</f>
        <v>0</v>
      </c>
      <c r="G99" s="57">
        <f t="shared" si="13"/>
        <v>0</v>
      </c>
      <c r="H99" s="57">
        <f t="shared" si="13"/>
        <v>0</v>
      </c>
      <c r="I99" s="185"/>
      <c r="J99" s="199"/>
      <c r="K99" s="199"/>
      <c r="L99" s="199"/>
      <c r="M99" s="199"/>
      <c r="N99" s="94"/>
    </row>
    <row r="100" spans="1:14" s="95" customFormat="1" ht="13.5" customHeight="1" outlineLevel="1" x14ac:dyDescent="0.2">
      <c r="A100" s="201"/>
      <c r="B100" s="213"/>
      <c r="C100" s="186"/>
      <c r="D100" s="93" t="s">
        <v>11</v>
      </c>
      <c r="E100" s="57">
        <f t="shared" si="12"/>
        <v>2480000</v>
      </c>
      <c r="F100" s="57">
        <f t="shared" si="13"/>
        <v>520000</v>
      </c>
      <c r="G100" s="57">
        <f t="shared" si="13"/>
        <v>1600000</v>
      </c>
      <c r="H100" s="57">
        <f t="shared" si="13"/>
        <v>360000</v>
      </c>
      <c r="I100" s="185"/>
      <c r="J100" s="199"/>
      <c r="K100" s="199"/>
      <c r="L100" s="199"/>
      <c r="M100" s="199"/>
      <c r="N100" s="94"/>
    </row>
    <row r="101" spans="1:14" ht="24" customHeight="1" outlineLevel="1" x14ac:dyDescent="0.25">
      <c r="A101" s="201"/>
      <c r="B101" s="213"/>
      <c r="C101" s="184" t="s">
        <v>256</v>
      </c>
      <c r="D101" s="93" t="s">
        <v>6</v>
      </c>
      <c r="E101" s="57">
        <f t="shared" si="12"/>
        <v>2480000</v>
      </c>
      <c r="F101" s="57">
        <f>SUM(F102:F103)</f>
        <v>520000</v>
      </c>
      <c r="G101" s="57">
        <f>SUM(G102:G103)</f>
        <v>1600000</v>
      </c>
      <c r="H101" s="57">
        <f>SUM(H102:H103)</f>
        <v>360000</v>
      </c>
      <c r="I101" s="185"/>
      <c r="J101" s="199"/>
      <c r="K101" s="199"/>
      <c r="L101" s="199"/>
      <c r="M101" s="199"/>
      <c r="N101" s="94"/>
    </row>
    <row r="102" spans="1:14" ht="24" customHeight="1" outlineLevel="1" x14ac:dyDescent="0.25">
      <c r="A102" s="201"/>
      <c r="B102" s="213"/>
      <c r="C102" s="185"/>
      <c r="D102" s="93" t="s">
        <v>10</v>
      </c>
      <c r="E102" s="57">
        <f t="shared" si="12"/>
        <v>0</v>
      </c>
      <c r="F102" s="57">
        <f t="shared" ref="F102:H103" si="14">F111</f>
        <v>0</v>
      </c>
      <c r="G102" s="57">
        <f t="shared" si="14"/>
        <v>0</v>
      </c>
      <c r="H102" s="57">
        <f t="shared" si="14"/>
        <v>0</v>
      </c>
      <c r="I102" s="185"/>
      <c r="J102" s="199"/>
      <c r="K102" s="199"/>
      <c r="L102" s="199"/>
      <c r="M102" s="199"/>
      <c r="N102" s="94"/>
    </row>
    <row r="103" spans="1:14" ht="24" customHeight="1" outlineLevel="1" x14ac:dyDescent="0.25">
      <c r="A103" s="201"/>
      <c r="B103" s="213"/>
      <c r="C103" s="186"/>
      <c r="D103" s="93" t="s">
        <v>11</v>
      </c>
      <c r="E103" s="57">
        <f t="shared" si="12"/>
        <v>2480000</v>
      </c>
      <c r="F103" s="57">
        <f t="shared" si="14"/>
        <v>520000</v>
      </c>
      <c r="G103" s="57">
        <f t="shared" si="14"/>
        <v>1600000</v>
      </c>
      <c r="H103" s="57">
        <f t="shared" si="14"/>
        <v>360000</v>
      </c>
      <c r="I103" s="185"/>
      <c r="J103" s="199"/>
      <c r="K103" s="199"/>
      <c r="L103" s="199"/>
      <c r="M103" s="199"/>
      <c r="N103" s="94"/>
    </row>
    <row r="104" spans="1:14" ht="15" customHeight="1" outlineLevel="1" x14ac:dyDescent="0.25">
      <c r="A104" s="201"/>
      <c r="B104" s="213"/>
      <c r="C104" s="184" t="s">
        <v>257</v>
      </c>
      <c r="D104" s="93" t="s">
        <v>6</v>
      </c>
      <c r="E104" s="57">
        <f t="shared" si="12"/>
        <v>0</v>
      </c>
      <c r="F104" s="57">
        <f>SUM(F105:F106)</f>
        <v>0</v>
      </c>
      <c r="G104" s="57">
        <f>SUM(G105:G106)</f>
        <v>0</v>
      </c>
      <c r="H104" s="57">
        <f>SUM(H105:H106)</f>
        <v>0</v>
      </c>
      <c r="I104" s="185"/>
      <c r="J104" s="199"/>
      <c r="K104" s="199"/>
      <c r="L104" s="199"/>
      <c r="M104" s="199"/>
      <c r="N104" s="94"/>
    </row>
    <row r="105" spans="1:14" ht="15" customHeight="1" outlineLevel="1" x14ac:dyDescent="0.25">
      <c r="A105" s="201"/>
      <c r="B105" s="213"/>
      <c r="C105" s="185"/>
      <c r="D105" s="93" t="s">
        <v>10</v>
      </c>
      <c r="E105" s="57">
        <f t="shared" si="12"/>
        <v>0</v>
      </c>
      <c r="F105" s="57">
        <f t="shared" ref="F105:H106" si="15">F114</f>
        <v>0</v>
      </c>
      <c r="G105" s="57">
        <f t="shared" si="15"/>
        <v>0</v>
      </c>
      <c r="H105" s="57">
        <f t="shared" si="15"/>
        <v>0</v>
      </c>
      <c r="I105" s="185"/>
      <c r="J105" s="199"/>
      <c r="K105" s="199"/>
      <c r="L105" s="199"/>
      <c r="M105" s="199"/>
      <c r="N105" s="94"/>
    </row>
    <row r="106" spans="1:14" ht="15" customHeight="1" outlineLevel="1" x14ac:dyDescent="0.25">
      <c r="A106" s="201"/>
      <c r="B106" s="213"/>
      <c r="C106" s="186"/>
      <c r="D106" s="93" t="s">
        <v>11</v>
      </c>
      <c r="E106" s="57">
        <f t="shared" si="12"/>
        <v>0</v>
      </c>
      <c r="F106" s="57">
        <f t="shared" si="15"/>
        <v>0</v>
      </c>
      <c r="G106" s="57">
        <f t="shared" si="15"/>
        <v>0</v>
      </c>
      <c r="H106" s="57">
        <f t="shared" si="15"/>
        <v>0</v>
      </c>
      <c r="I106" s="186"/>
      <c r="J106" s="200"/>
      <c r="K106" s="200"/>
      <c r="L106" s="200"/>
      <c r="M106" s="200"/>
      <c r="N106" s="94"/>
    </row>
    <row r="107" spans="1:14" s="95" customFormat="1" ht="29.25" customHeight="1" outlineLevel="2" collapsed="1" x14ac:dyDescent="0.2">
      <c r="A107" s="197" t="s">
        <v>57</v>
      </c>
      <c r="B107" s="196" t="s">
        <v>21</v>
      </c>
      <c r="C107" s="184"/>
      <c r="D107" s="93" t="s">
        <v>6</v>
      </c>
      <c r="E107" s="57">
        <f t="shared" si="12"/>
        <v>2480000</v>
      </c>
      <c r="F107" s="57">
        <f>SUM(F108:F109)</f>
        <v>520000</v>
      </c>
      <c r="G107" s="57">
        <f>SUM(G108:G109)</f>
        <v>1600000</v>
      </c>
      <c r="H107" s="57">
        <f>SUM(H108:H109)</f>
        <v>360000</v>
      </c>
      <c r="I107" s="184" t="s">
        <v>95</v>
      </c>
      <c r="J107" s="198" t="s">
        <v>9</v>
      </c>
      <c r="K107" s="198">
        <v>100</v>
      </c>
      <c r="L107" s="198">
        <v>100</v>
      </c>
      <c r="M107" s="198">
        <v>100</v>
      </c>
      <c r="N107" s="94"/>
    </row>
    <row r="108" spans="1:14" s="95" customFormat="1" ht="29.25" customHeight="1" outlineLevel="2" x14ac:dyDescent="0.2">
      <c r="A108" s="197"/>
      <c r="B108" s="196"/>
      <c r="C108" s="185"/>
      <c r="D108" s="93" t="s">
        <v>10</v>
      </c>
      <c r="E108" s="83">
        <f t="shared" si="12"/>
        <v>0</v>
      </c>
      <c r="F108" s="83">
        <v>0</v>
      </c>
      <c r="G108" s="83">
        <v>0</v>
      </c>
      <c r="H108" s="83">
        <v>0</v>
      </c>
      <c r="I108" s="185"/>
      <c r="J108" s="199"/>
      <c r="K108" s="199"/>
      <c r="L108" s="199"/>
      <c r="M108" s="199"/>
      <c r="N108" s="94"/>
    </row>
    <row r="109" spans="1:14" s="95" customFormat="1" ht="24.75" customHeight="1" outlineLevel="2" x14ac:dyDescent="0.2">
      <c r="A109" s="197"/>
      <c r="B109" s="196"/>
      <c r="C109" s="186"/>
      <c r="D109" s="93" t="s">
        <v>11</v>
      </c>
      <c r="E109" s="83">
        <f t="shared" si="12"/>
        <v>2480000</v>
      </c>
      <c r="F109" s="83">
        <v>520000</v>
      </c>
      <c r="G109" s="83">
        <v>1600000</v>
      </c>
      <c r="H109" s="83">
        <f>300000+60000</f>
        <v>360000</v>
      </c>
      <c r="I109" s="185"/>
      <c r="J109" s="199"/>
      <c r="K109" s="199"/>
      <c r="L109" s="199"/>
      <c r="M109" s="199"/>
      <c r="N109" s="94"/>
    </row>
    <row r="110" spans="1:14" ht="24" customHeight="1" outlineLevel="2" x14ac:dyDescent="0.25">
      <c r="A110" s="197"/>
      <c r="B110" s="196"/>
      <c r="C110" s="184" t="s">
        <v>256</v>
      </c>
      <c r="D110" s="93" t="s">
        <v>6</v>
      </c>
      <c r="E110" s="57">
        <f t="shared" si="12"/>
        <v>2480000</v>
      </c>
      <c r="F110" s="57">
        <f>SUM(F111:F112)</f>
        <v>520000</v>
      </c>
      <c r="G110" s="57">
        <f>SUM(G111:G112)</f>
        <v>1600000</v>
      </c>
      <c r="H110" s="57">
        <f>SUM(H111:H112)</f>
        <v>360000</v>
      </c>
      <c r="I110" s="185"/>
      <c r="J110" s="199"/>
      <c r="K110" s="199"/>
      <c r="L110" s="199"/>
      <c r="M110" s="199"/>
      <c r="N110" s="94"/>
    </row>
    <row r="111" spans="1:14" ht="24" customHeight="1" outlineLevel="2" x14ac:dyDescent="0.25">
      <c r="A111" s="197"/>
      <c r="B111" s="196"/>
      <c r="C111" s="185"/>
      <c r="D111" s="93" t="s">
        <v>10</v>
      </c>
      <c r="E111" s="83">
        <f t="shared" si="12"/>
        <v>0</v>
      </c>
      <c r="F111" s="83">
        <v>0</v>
      </c>
      <c r="G111" s="83">
        <v>0</v>
      </c>
      <c r="H111" s="83">
        <v>0</v>
      </c>
      <c r="I111" s="185"/>
      <c r="J111" s="199"/>
      <c r="K111" s="199"/>
      <c r="L111" s="199"/>
      <c r="M111" s="199"/>
      <c r="N111" s="94"/>
    </row>
    <row r="112" spans="1:14" ht="24" customHeight="1" outlineLevel="2" x14ac:dyDescent="0.25">
      <c r="A112" s="197"/>
      <c r="B112" s="196"/>
      <c r="C112" s="186"/>
      <c r="D112" s="93" t="s">
        <v>11</v>
      </c>
      <c r="E112" s="83">
        <f t="shared" si="12"/>
        <v>2480000</v>
      </c>
      <c r="F112" s="83">
        <v>520000</v>
      </c>
      <c r="G112" s="83">
        <v>1600000</v>
      </c>
      <c r="H112" s="83">
        <f>300000+60000</f>
        <v>360000</v>
      </c>
      <c r="I112" s="185"/>
      <c r="J112" s="199"/>
      <c r="K112" s="199"/>
      <c r="L112" s="199"/>
      <c r="M112" s="199"/>
      <c r="N112" s="94"/>
    </row>
    <row r="113" spans="1:14" ht="15" customHeight="1" outlineLevel="2" x14ac:dyDescent="0.25">
      <c r="A113" s="197"/>
      <c r="B113" s="196"/>
      <c r="C113" s="184" t="s">
        <v>257</v>
      </c>
      <c r="D113" s="93" t="s">
        <v>6</v>
      </c>
      <c r="E113" s="57">
        <f t="shared" ref="E113:E133" si="16">SUM(F113:H113)</f>
        <v>0</v>
      </c>
      <c r="F113" s="57">
        <f>SUM(F114:F115)</f>
        <v>0</v>
      </c>
      <c r="G113" s="57">
        <f>SUM(G114:G115)</f>
        <v>0</v>
      </c>
      <c r="H113" s="57">
        <f>SUM(H114:H115)</f>
        <v>0</v>
      </c>
      <c r="I113" s="185"/>
      <c r="J113" s="199"/>
      <c r="K113" s="199"/>
      <c r="L113" s="199"/>
      <c r="M113" s="199"/>
      <c r="N113" s="94"/>
    </row>
    <row r="114" spans="1:14" ht="15" customHeight="1" outlineLevel="2" x14ac:dyDescent="0.25">
      <c r="A114" s="197"/>
      <c r="B114" s="196"/>
      <c r="C114" s="185"/>
      <c r="D114" s="93" t="s">
        <v>10</v>
      </c>
      <c r="E114" s="83">
        <f t="shared" si="16"/>
        <v>0</v>
      </c>
      <c r="F114" s="83"/>
      <c r="G114" s="83"/>
      <c r="H114" s="83"/>
      <c r="I114" s="185"/>
      <c r="J114" s="199"/>
      <c r="K114" s="199"/>
      <c r="L114" s="199"/>
      <c r="M114" s="199"/>
      <c r="N114" s="94"/>
    </row>
    <row r="115" spans="1:14" ht="15" customHeight="1" outlineLevel="2" x14ac:dyDescent="0.25">
      <c r="A115" s="197"/>
      <c r="B115" s="196"/>
      <c r="C115" s="186"/>
      <c r="D115" s="93" t="s">
        <v>11</v>
      </c>
      <c r="E115" s="83">
        <f t="shared" si="16"/>
        <v>0</v>
      </c>
      <c r="F115" s="83"/>
      <c r="G115" s="83"/>
      <c r="H115" s="83"/>
      <c r="I115" s="186"/>
      <c r="J115" s="200"/>
      <c r="K115" s="200"/>
      <c r="L115" s="200"/>
      <c r="M115" s="200"/>
      <c r="N115" s="94"/>
    </row>
    <row r="116" spans="1:14" s="95" customFormat="1" ht="13.5" customHeight="1" outlineLevel="1" collapsed="1" x14ac:dyDescent="0.2">
      <c r="A116" s="201" t="s">
        <v>58</v>
      </c>
      <c r="B116" s="213" t="s">
        <v>22</v>
      </c>
      <c r="C116" s="184"/>
      <c r="D116" s="93" t="s">
        <v>6</v>
      </c>
      <c r="E116" s="57">
        <f t="shared" si="16"/>
        <v>1235100</v>
      </c>
      <c r="F116" s="57">
        <f>SUM(F117:F118)</f>
        <v>0</v>
      </c>
      <c r="G116" s="57">
        <f>SUM(G117:G118)</f>
        <v>835100</v>
      </c>
      <c r="H116" s="57">
        <f>SUM(H117:H118)</f>
        <v>400000</v>
      </c>
      <c r="I116" s="184" t="s">
        <v>100</v>
      </c>
      <c r="J116" s="198" t="s">
        <v>9</v>
      </c>
      <c r="K116" s="198" t="s">
        <v>101</v>
      </c>
      <c r="L116" s="198" t="s">
        <v>102</v>
      </c>
      <c r="M116" s="198" t="s">
        <v>102</v>
      </c>
      <c r="N116" s="94"/>
    </row>
    <row r="117" spans="1:14" s="95" customFormat="1" ht="13.5" customHeight="1" outlineLevel="1" x14ac:dyDescent="0.2">
      <c r="A117" s="201"/>
      <c r="B117" s="213"/>
      <c r="C117" s="185"/>
      <c r="D117" s="93" t="s">
        <v>10</v>
      </c>
      <c r="E117" s="57">
        <f t="shared" si="16"/>
        <v>535100</v>
      </c>
      <c r="F117" s="57">
        <f t="shared" ref="F117:H118" si="17">F126</f>
        <v>0</v>
      </c>
      <c r="G117" s="57">
        <f t="shared" si="17"/>
        <v>535100</v>
      </c>
      <c r="H117" s="57">
        <f t="shared" si="17"/>
        <v>0</v>
      </c>
      <c r="I117" s="185"/>
      <c r="J117" s="199"/>
      <c r="K117" s="199"/>
      <c r="L117" s="199"/>
      <c r="M117" s="199"/>
      <c r="N117" s="94"/>
    </row>
    <row r="118" spans="1:14" s="95" customFormat="1" ht="13.5" customHeight="1" outlineLevel="1" x14ac:dyDescent="0.2">
      <c r="A118" s="201"/>
      <c r="B118" s="213"/>
      <c r="C118" s="186"/>
      <c r="D118" s="93" t="s">
        <v>11</v>
      </c>
      <c r="E118" s="57">
        <f t="shared" si="16"/>
        <v>700000</v>
      </c>
      <c r="F118" s="57">
        <f t="shared" si="17"/>
        <v>0</v>
      </c>
      <c r="G118" s="57">
        <f t="shared" si="17"/>
        <v>300000</v>
      </c>
      <c r="H118" s="57">
        <f t="shared" si="17"/>
        <v>400000</v>
      </c>
      <c r="I118" s="185"/>
      <c r="J118" s="199"/>
      <c r="K118" s="199"/>
      <c r="L118" s="199"/>
      <c r="M118" s="199"/>
      <c r="N118" s="94"/>
    </row>
    <row r="119" spans="1:14" ht="24" customHeight="1" outlineLevel="1" x14ac:dyDescent="0.25">
      <c r="A119" s="201"/>
      <c r="B119" s="213"/>
      <c r="C119" s="184" t="s">
        <v>256</v>
      </c>
      <c r="D119" s="93" t="s">
        <v>6</v>
      </c>
      <c r="E119" s="57">
        <f t="shared" si="16"/>
        <v>1235100</v>
      </c>
      <c r="F119" s="57">
        <f>SUM(F120:F121)</f>
        <v>0</v>
      </c>
      <c r="G119" s="57">
        <f>SUM(G120:G121)</f>
        <v>835100</v>
      </c>
      <c r="H119" s="57">
        <f>SUM(H120:H121)</f>
        <v>400000</v>
      </c>
      <c r="I119" s="185"/>
      <c r="J119" s="199"/>
      <c r="K119" s="199"/>
      <c r="L119" s="199"/>
      <c r="M119" s="199"/>
      <c r="N119" s="94"/>
    </row>
    <row r="120" spans="1:14" ht="24" customHeight="1" outlineLevel="1" x14ac:dyDescent="0.25">
      <c r="A120" s="201"/>
      <c r="B120" s="213"/>
      <c r="C120" s="185"/>
      <c r="D120" s="93" t="s">
        <v>10</v>
      </c>
      <c r="E120" s="57">
        <f t="shared" si="16"/>
        <v>535100</v>
      </c>
      <c r="F120" s="57">
        <f t="shared" ref="F120:H121" si="18">F129</f>
        <v>0</v>
      </c>
      <c r="G120" s="57">
        <f t="shared" si="18"/>
        <v>535100</v>
      </c>
      <c r="H120" s="57">
        <f t="shared" si="18"/>
        <v>0</v>
      </c>
      <c r="I120" s="185"/>
      <c r="J120" s="199"/>
      <c r="K120" s="199"/>
      <c r="L120" s="199"/>
      <c r="M120" s="199"/>
      <c r="N120" s="94"/>
    </row>
    <row r="121" spans="1:14" ht="24" customHeight="1" outlineLevel="1" x14ac:dyDescent="0.25">
      <c r="A121" s="201"/>
      <c r="B121" s="213"/>
      <c r="C121" s="186"/>
      <c r="D121" s="93" t="s">
        <v>11</v>
      </c>
      <c r="E121" s="57">
        <f t="shared" si="16"/>
        <v>700000</v>
      </c>
      <c r="F121" s="57">
        <f t="shared" si="18"/>
        <v>0</v>
      </c>
      <c r="G121" s="57">
        <f t="shared" si="18"/>
        <v>300000</v>
      </c>
      <c r="H121" s="57">
        <f t="shared" si="18"/>
        <v>400000</v>
      </c>
      <c r="I121" s="185"/>
      <c r="J121" s="199"/>
      <c r="K121" s="199"/>
      <c r="L121" s="199"/>
      <c r="M121" s="199"/>
      <c r="N121" s="94"/>
    </row>
    <row r="122" spans="1:14" ht="15" customHeight="1" outlineLevel="1" x14ac:dyDescent="0.25">
      <c r="A122" s="201"/>
      <c r="B122" s="213"/>
      <c r="C122" s="184" t="s">
        <v>257</v>
      </c>
      <c r="D122" s="93" t="s">
        <v>6</v>
      </c>
      <c r="E122" s="57">
        <f t="shared" si="16"/>
        <v>0</v>
      </c>
      <c r="F122" s="57">
        <f>SUM(F123:F124)</f>
        <v>0</v>
      </c>
      <c r="G122" s="57">
        <f>SUM(G123:G124)</f>
        <v>0</v>
      </c>
      <c r="H122" s="57">
        <f>SUM(H123:H124)</f>
        <v>0</v>
      </c>
      <c r="I122" s="185"/>
      <c r="J122" s="199"/>
      <c r="K122" s="199"/>
      <c r="L122" s="199"/>
      <c r="M122" s="199"/>
      <c r="N122" s="94"/>
    </row>
    <row r="123" spans="1:14" ht="15" customHeight="1" outlineLevel="1" x14ac:dyDescent="0.25">
      <c r="A123" s="201"/>
      <c r="B123" s="213"/>
      <c r="C123" s="185"/>
      <c r="D123" s="93" t="s">
        <v>10</v>
      </c>
      <c r="E123" s="57">
        <f t="shared" si="16"/>
        <v>0</v>
      </c>
      <c r="F123" s="57">
        <f t="shared" ref="F123:H124" si="19">F132</f>
        <v>0</v>
      </c>
      <c r="G123" s="57">
        <f t="shared" si="19"/>
        <v>0</v>
      </c>
      <c r="H123" s="57">
        <f t="shared" si="19"/>
        <v>0</v>
      </c>
      <c r="I123" s="185"/>
      <c r="J123" s="199"/>
      <c r="K123" s="199"/>
      <c r="L123" s="199"/>
      <c r="M123" s="199"/>
      <c r="N123" s="94"/>
    </row>
    <row r="124" spans="1:14" ht="15" customHeight="1" outlineLevel="1" x14ac:dyDescent="0.25">
      <c r="A124" s="201"/>
      <c r="B124" s="213"/>
      <c r="C124" s="186"/>
      <c r="D124" s="93" t="s">
        <v>11</v>
      </c>
      <c r="E124" s="57">
        <f t="shared" si="16"/>
        <v>0</v>
      </c>
      <c r="F124" s="57">
        <f t="shared" si="19"/>
        <v>0</v>
      </c>
      <c r="G124" s="57">
        <f t="shared" si="19"/>
        <v>0</v>
      </c>
      <c r="H124" s="57">
        <f t="shared" si="19"/>
        <v>0</v>
      </c>
      <c r="I124" s="186"/>
      <c r="J124" s="200"/>
      <c r="K124" s="200"/>
      <c r="L124" s="200"/>
      <c r="M124" s="200"/>
      <c r="N124" s="94"/>
    </row>
    <row r="125" spans="1:14" s="95" customFormat="1" ht="29.25" customHeight="1" outlineLevel="2" collapsed="1" x14ac:dyDescent="0.2">
      <c r="A125" s="197" t="s">
        <v>59</v>
      </c>
      <c r="B125" s="196" t="s">
        <v>22</v>
      </c>
      <c r="C125" s="184"/>
      <c r="D125" s="93" t="s">
        <v>6</v>
      </c>
      <c r="E125" s="57">
        <f t="shared" si="16"/>
        <v>1235100</v>
      </c>
      <c r="F125" s="57">
        <f>SUM(F126:F127)</f>
        <v>0</v>
      </c>
      <c r="G125" s="57">
        <f>SUM(G126:G127)</f>
        <v>835100</v>
      </c>
      <c r="H125" s="57">
        <f>SUM(H126:H127)</f>
        <v>400000</v>
      </c>
      <c r="I125" s="184" t="s">
        <v>96</v>
      </c>
      <c r="J125" s="198" t="s">
        <v>9</v>
      </c>
      <c r="K125" s="198">
        <v>0</v>
      </c>
      <c r="L125" s="198">
        <v>50</v>
      </c>
      <c r="M125" s="198">
        <v>50</v>
      </c>
      <c r="N125" s="94"/>
    </row>
    <row r="126" spans="1:14" s="95" customFormat="1" ht="29.25" customHeight="1" outlineLevel="2" x14ac:dyDescent="0.2">
      <c r="A126" s="197"/>
      <c r="B126" s="196"/>
      <c r="C126" s="185"/>
      <c r="D126" s="96" t="s">
        <v>10</v>
      </c>
      <c r="E126" s="83">
        <f t="shared" si="16"/>
        <v>535100</v>
      </c>
      <c r="F126" s="83">
        <v>0</v>
      </c>
      <c r="G126" s="83">
        <v>535100</v>
      </c>
      <c r="H126" s="83">
        <v>0</v>
      </c>
      <c r="I126" s="185"/>
      <c r="J126" s="199"/>
      <c r="K126" s="199"/>
      <c r="L126" s="199"/>
      <c r="M126" s="199"/>
      <c r="N126" s="94"/>
    </row>
    <row r="127" spans="1:14" s="95" customFormat="1" ht="24.75" customHeight="1" outlineLevel="2" x14ac:dyDescent="0.2">
      <c r="A127" s="197"/>
      <c r="B127" s="196"/>
      <c r="C127" s="186"/>
      <c r="D127" s="96" t="s">
        <v>11</v>
      </c>
      <c r="E127" s="83">
        <f t="shared" si="16"/>
        <v>700000</v>
      </c>
      <c r="F127" s="83">
        <v>0</v>
      </c>
      <c r="G127" s="83">
        <v>300000</v>
      </c>
      <c r="H127" s="83">
        <v>400000</v>
      </c>
      <c r="I127" s="185"/>
      <c r="J127" s="199"/>
      <c r="K127" s="199"/>
      <c r="L127" s="199"/>
      <c r="M127" s="199"/>
      <c r="N127" s="94"/>
    </row>
    <row r="128" spans="1:14" ht="24" customHeight="1" outlineLevel="2" x14ac:dyDescent="0.25">
      <c r="A128" s="197"/>
      <c r="B128" s="196"/>
      <c r="C128" s="184" t="s">
        <v>256</v>
      </c>
      <c r="D128" s="93" t="s">
        <v>6</v>
      </c>
      <c r="E128" s="57">
        <f t="shared" si="16"/>
        <v>1235100</v>
      </c>
      <c r="F128" s="57">
        <f>SUM(F129:F130)</f>
        <v>0</v>
      </c>
      <c r="G128" s="57">
        <f>SUM(G129:G130)</f>
        <v>835100</v>
      </c>
      <c r="H128" s="57">
        <f>SUM(H129:H130)</f>
        <v>400000</v>
      </c>
      <c r="I128" s="185"/>
      <c r="J128" s="199"/>
      <c r="K128" s="199"/>
      <c r="L128" s="199"/>
      <c r="M128" s="199"/>
      <c r="N128" s="94"/>
    </row>
    <row r="129" spans="1:14" ht="24" customHeight="1" outlineLevel="2" x14ac:dyDescent="0.25">
      <c r="A129" s="197"/>
      <c r="B129" s="196"/>
      <c r="C129" s="185"/>
      <c r="D129" s="96" t="s">
        <v>10</v>
      </c>
      <c r="E129" s="83">
        <f t="shared" si="16"/>
        <v>535100</v>
      </c>
      <c r="F129" s="83">
        <v>0</v>
      </c>
      <c r="G129" s="83">
        <v>535100</v>
      </c>
      <c r="H129" s="83">
        <v>0</v>
      </c>
      <c r="I129" s="185"/>
      <c r="J129" s="199"/>
      <c r="K129" s="199"/>
      <c r="L129" s="199"/>
      <c r="M129" s="199"/>
      <c r="N129" s="94"/>
    </row>
    <row r="130" spans="1:14" ht="24" customHeight="1" outlineLevel="2" x14ac:dyDescent="0.25">
      <c r="A130" s="197"/>
      <c r="B130" s="196"/>
      <c r="C130" s="186"/>
      <c r="D130" s="96" t="s">
        <v>11</v>
      </c>
      <c r="E130" s="83">
        <f t="shared" si="16"/>
        <v>700000</v>
      </c>
      <c r="F130" s="83">
        <v>0</v>
      </c>
      <c r="G130" s="83">
        <v>300000</v>
      </c>
      <c r="H130" s="83">
        <v>400000</v>
      </c>
      <c r="I130" s="185"/>
      <c r="J130" s="199"/>
      <c r="K130" s="199"/>
      <c r="L130" s="199"/>
      <c r="M130" s="199"/>
      <c r="N130" s="94"/>
    </row>
    <row r="131" spans="1:14" ht="15" customHeight="1" outlineLevel="2" x14ac:dyDescent="0.25">
      <c r="A131" s="197"/>
      <c r="B131" s="196"/>
      <c r="C131" s="184" t="s">
        <v>257</v>
      </c>
      <c r="D131" s="93" t="s">
        <v>6</v>
      </c>
      <c r="E131" s="57">
        <f t="shared" si="16"/>
        <v>0</v>
      </c>
      <c r="F131" s="57">
        <f>SUM(F132:F133)</f>
        <v>0</v>
      </c>
      <c r="G131" s="57">
        <f>SUM(G132:G133)</f>
        <v>0</v>
      </c>
      <c r="H131" s="57">
        <f>SUM(H132:H133)</f>
        <v>0</v>
      </c>
      <c r="I131" s="185"/>
      <c r="J131" s="199"/>
      <c r="K131" s="199"/>
      <c r="L131" s="199"/>
      <c r="M131" s="199"/>
      <c r="N131" s="94"/>
    </row>
    <row r="132" spans="1:14" ht="15" customHeight="1" outlineLevel="2" x14ac:dyDescent="0.25">
      <c r="A132" s="197"/>
      <c r="B132" s="196"/>
      <c r="C132" s="185"/>
      <c r="D132" s="96" t="s">
        <v>10</v>
      </c>
      <c r="E132" s="83">
        <f t="shared" si="16"/>
        <v>0</v>
      </c>
      <c r="F132" s="83"/>
      <c r="G132" s="83"/>
      <c r="H132" s="83"/>
      <c r="I132" s="185"/>
      <c r="J132" s="199"/>
      <c r="K132" s="199"/>
      <c r="L132" s="199"/>
      <c r="M132" s="199"/>
      <c r="N132" s="94"/>
    </row>
    <row r="133" spans="1:14" ht="15" customHeight="1" outlineLevel="2" x14ac:dyDescent="0.25">
      <c r="A133" s="197"/>
      <c r="B133" s="196"/>
      <c r="C133" s="186"/>
      <c r="D133" s="96" t="s">
        <v>11</v>
      </c>
      <c r="E133" s="83">
        <f t="shared" si="16"/>
        <v>0</v>
      </c>
      <c r="F133" s="83"/>
      <c r="G133" s="83"/>
      <c r="H133" s="83"/>
      <c r="I133" s="186"/>
      <c r="J133" s="200"/>
      <c r="K133" s="200"/>
      <c r="L133" s="200"/>
      <c r="M133" s="200"/>
      <c r="N133" s="94"/>
    </row>
    <row r="134" spans="1:14" s="95" customFormat="1" ht="18.75" customHeight="1" x14ac:dyDescent="0.2">
      <c r="A134" s="201" t="s">
        <v>253</v>
      </c>
      <c r="B134" s="213" t="s">
        <v>252</v>
      </c>
      <c r="C134" s="184"/>
      <c r="D134" s="92" t="s">
        <v>6</v>
      </c>
      <c r="E134" s="57">
        <f t="shared" ref="E134:E142" si="20">SUM(F134:H134)</f>
        <v>6650065</v>
      </c>
      <c r="F134" s="57">
        <f>SUM(F135:F136)</f>
        <v>806415</v>
      </c>
      <c r="G134" s="57">
        <f>SUM(G135:G136)</f>
        <v>3249400</v>
      </c>
      <c r="H134" s="57">
        <f>SUM(H135:H136)</f>
        <v>2594250</v>
      </c>
      <c r="I134" s="184" t="s">
        <v>100</v>
      </c>
      <c r="J134" s="198" t="s">
        <v>9</v>
      </c>
      <c r="K134" s="198" t="s">
        <v>101</v>
      </c>
      <c r="L134" s="198" t="s">
        <v>102</v>
      </c>
      <c r="M134" s="198" t="s">
        <v>102</v>
      </c>
      <c r="N134" s="94"/>
    </row>
    <row r="135" spans="1:14" s="95" customFormat="1" ht="18.75" customHeight="1" x14ac:dyDescent="0.2">
      <c r="A135" s="201"/>
      <c r="B135" s="213"/>
      <c r="C135" s="185"/>
      <c r="D135" s="92" t="s">
        <v>10</v>
      </c>
      <c r="E135" s="57">
        <f t="shared" si="20"/>
        <v>1118500</v>
      </c>
      <c r="F135" s="57">
        <f t="shared" ref="F135:H136" si="21">F144</f>
        <v>0</v>
      </c>
      <c r="G135" s="57">
        <f t="shared" si="21"/>
        <v>1118500</v>
      </c>
      <c r="H135" s="57">
        <f t="shared" si="21"/>
        <v>0</v>
      </c>
      <c r="I135" s="185"/>
      <c r="J135" s="199"/>
      <c r="K135" s="199"/>
      <c r="L135" s="199"/>
      <c r="M135" s="199"/>
      <c r="N135" s="94"/>
    </row>
    <row r="136" spans="1:14" s="95" customFormat="1" ht="18.75" customHeight="1" x14ac:dyDescent="0.2">
      <c r="A136" s="201"/>
      <c r="B136" s="213"/>
      <c r="C136" s="186"/>
      <c r="D136" s="92" t="s">
        <v>11</v>
      </c>
      <c r="E136" s="57">
        <f t="shared" si="20"/>
        <v>5531565</v>
      </c>
      <c r="F136" s="57">
        <f t="shared" si="21"/>
        <v>806415</v>
      </c>
      <c r="G136" s="57">
        <f t="shared" si="21"/>
        <v>2130900</v>
      </c>
      <c r="H136" s="57">
        <f t="shared" si="21"/>
        <v>2594250</v>
      </c>
      <c r="I136" s="185"/>
      <c r="J136" s="199"/>
      <c r="K136" s="199"/>
      <c r="L136" s="199"/>
      <c r="M136" s="199"/>
      <c r="N136" s="94"/>
    </row>
    <row r="137" spans="1:14" s="95" customFormat="1" ht="24" customHeight="1" x14ac:dyDescent="0.2">
      <c r="A137" s="201"/>
      <c r="B137" s="213"/>
      <c r="C137" s="184" t="s">
        <v>256</v>
      </c>
      <c r="D137" s="92" t="s">
        <v>6</v>
      </c>
      <c r="E137" s="57">
        <f t="shared" si="20"/>
        <v>4363815</v>
      </c>
      <c r="F137" s="57">
        <f>SUM(F138:F139)</f>
        <v>806415</v>
      </c>
      <c r="G137" s="57">
        <f>SUM(G138:G139)</f>
        <v>3249400</v>
      </c>
      <c r="H137" s="57">
        <f>SUM(H138:H139)</f>
        <v>308000</v>
      </c>
      <c r="I137" s="185"/>
      <c r="J137" s="199"/>
      <c r="K137" s="199"/>
      <c r="L137" s="199"/>
      <c r="M137" s="199"/>
      <c r="N137" s="94"/>
    </row>
    <row r="138" spans="1:14" s="95" customFormat="1" ht="24" customHeight="1" x14ac:dyDescent="0.2">
      <c r="A138" s="201"/>
      <c r="B138" s="213"/>
      <c r="C138" s="185"/>
      <c r="D138" s="92" t="s">
        <v>10</v>
      </c>
      <c r="E138" s="57">
        <f t="shared" si="20"/>
        <v>1118500</v>
      </c>
      <c r="F138" s="57">
        <f t="shared" ref="F138:H139" si="22">F147</f>
        <v>0</v>
      </c>
      <c r="G138" s="57">
        <f t="shared" si="22"/>
        <v>1118500</v>
      </c>
      <c r="H138" s="57">
        <f t="shared" si="22"/>
        <v>0</v>
      </c>
      <c r="I138" s="185"/>
      <c r="J138" s="199"/>
      <c r="K138" s="199"/>
      <c r="L138" s="199"/>
      <c r="M138" s="199"/>
      <c r="N138" s="94"/>
    </row>
    <row r="139" spans="1:14" s="95" customFormat="1" ht="24" customHeight="1" x14ac:dyDescent="0.2">
      <c r="A139" s="201"/>
      <c r="B139" s="213"/>
      <c r="C139" s="186"/>
      <c r="D139" s="92" t="s">
        <v>11</v>
      </c>
      <c r="E139" s="57">
        <f t="shared" si="20"/>
        <v>3245315</v>
      </c>
      <c r="F139" s="57">
        <f t="shared" si="22"/>
        <v>806415</v>
      </c>
      <c r="G139" s="57">
        <f t="shared" si="22"/>
        <v>2130900</v>
      </c>
      <c r="H139" s="57">
        <f t="shared" si="22"/>
        <v>308000</v>
      </c>
      <c r="I139" s="185"/>
      <c r="J139" s="199"/>
      <c r="K139" s="199"/>
      <c r="L139" s="199"/>
      <c r="M139" s="199"/>
      <c r="N139" s="94"/>
    </row>
    <row r="140" spans="1:14" s="95" customFormat="1" ht="15" customHeight="1" x14ac:dyDescent="0.2">
      <c r="A140" s="201"/>
      <c r="B140" s="213"/>
      <c r="C140" s="184" t="s">
        <v>257</v>
      </c>
      <c r="D140" s="92" t="s">
        <v>6</v>
      </c>
      <c r="E140" s="57">
        <f t="shared" si="20"/>
        <v>2286250</v>
      </c>
      <c r="F140" s="57">
        <f>SUM(F141:F142)</f>
        <v>0</v>
      </c>
      <c r="G140" s="57">
        <f>SUM(G141:G142)</f>
        <v>0</v>
      </c>
      <c r="H140" s="57">
        <f>SUM(H141:H142)</f>
        <v>2286250</v>
      </c>
      <c r="I140" s="185"/>
      <c r="J140" s="199"/>
      <c r="K140" s="199"/>
      <c r="L140" s="199"/>
      <c r="M140" s="199"/>
      <c r="N140" s="94"/>
    </row>
    <row r="141" spans="1:14" s="95" customFormat="1" ht="15" customHeight="1" x14ac:dyDescent="0.2">
      <c r="A141" s="201"/>
      <c r="B141" s="213"/>
      <c r="C141" s="185"/>
      <c r="D141" s="92" t="s">
        <v>10</v>
      </c>
      <c r="E141" s="57">
        <f t="shared" si="20"/>
        <v>0</v>
      </c>
      <c r="F141" s="57">
        <f t="shared" ref="F141:H142" si="23">F150</f>
        <v>0</v>
      </c>
      <c r="G141" s="57">
        <f t="shared" si="23"/>
        <v>0</v>
      </c>
      <c r="H141" s="57">
        <f t="shared" si="23"/>
        <v>0</v>
      </c>
      <c r="I141" s="185"/>
      <c r="J141" s="199"/>
      <c r="K141" s="199"/>
      <c r="L141" s="199"/>
      <c r="M141" s="199"/>
      <c r="N141" s="94"/>
    </row>
    <row r="142" spans="1:14" s="95" customFormat="1" ht="15" customHeight="1" x14ac:dyDescent="0.2">
      <c r="A142" s="201"/>
      <c r="B142" s="213"/>
      <c r="C142" s="186"/>
      <c r="D142" s="92" t="s">
        <v>11</v>
      </c>
      <c r="E142" s="57">
        <f t="shared" si="20"/>
        <v>2286250</v>
      </c>
      <c r="F142" s="57">
        <f t="shared" si="23"/>
        <v>0</v>
      </c>
      <c r="G142" s="57">
        <f t="shared" si="23"/>
        <v>0</v>
      </c>
      <c r="H142" s="57">
        <f t="shared" si="23"/>
        <v>2286250</v>
      </c>
      <c r="I142" s="186"/>
      <c r="J142" s="200"/>
      <c r="K142" s="200"/>
      <c r="L142" s="200"/>
      <c r="M142" s="200"/>
      <c r="N142" s="94"/>
    </row>
    <row r="143" spans="1:14" s="95" customFormat="1" ht="18.75" customHeight="1" outlineLevel="1" x14ac:dyDescent="0.2">
      <c r="A143" s="201" t="s">
        <v>105</v>
      </c>
      <c r="B143" s="213" t="s">
        <v>23</v>
      </c>
      <c r="C143" s="184"/>
      <c r="D143" s="93" t="s">
        <v>6</v>
      </c>
      <c r="E143" s="57">
        <f>SUM(F143:H143)</f>
        <v>6650065</v>
      </c>
      <c r="F143" s="57">
        <f>SUM(F144:F145)</f>
        <v>806415</v>
      </c>
      <c r="G143" s="57">
        <f>SUM(G144:G145)</f>
        <v>3249400</v>
      </c>
      <c r="H143" s="57">
        <f>SUM(H144:H145)</f>
        <v>2594250</v>
      </c>
      <c r="I143" s="184" t="s">
        <v>100</v>
      </c>
      <c r="J143" s="211" t="s">
        <v>9</v>
      </c>
      <c r="K143" s="211" t="s">
        <v>101</v>
      </c>
      <c r="L143" s="211" t="s">
        <v>102</v>
      </c>
      <c r="M143" s="211" t="s">
        <v>102</v>
      </c>
      <c r="N143" s="94"/>
    </row>
    <row r="144" spans="1:14" s="95" customFormat="1" ht="18.75" customHeight="1" outlineLevel="1" x14ac:dyDescent="0.2">
      <c r="A144" s="201"/>
      <c r="B144" s="213"/>
      <c r="C144" s="185"/>
      <c r="D144" s="93" t="s">
        <v>10</v>
      </c>
      <c r="E144" s="57">
        <f>SUM(F144:H144)</f>
        <v>1118500</v>
      </c>
      <c r="F144" s="88">
        <f t="shared" ref="F144:H145" si="24">F153+F189</f>
        <v>0</v>
      </c>
      <c r="G144" s="88">
        <f t="shared" si="24"/>
        <v>1118500</v>
      </c>
      <c r="H144" s="88">
        <f t="shared" si="24"/>
        <v>0</v>
      </c>
      <c r="I144" s="185"/>
      <c r="J144" s="211"/>
      <c r="K144" s="211"/>
      <c r="L144" s="211"/>
      <c r="M144" s="211"/>
      <c r="N144" s="94"/>
    </row>
    <row r="145" spans="1:14" s="95" customFormat="1" ht="18.75" customHeight="1" outlineLevel="1" x14ac:dyDescent="0.2">
      <c r="A145" s="201"/>
      <c r="B145" s="213"/>
      <c r="C145" s="186"/>
      <c r="D145" s="93" t="s">
        <v>11</v>
      </c>
      <c r="E145" s="57">
        <f>SUM(F145:H145)</f>
        <v>5531565</v>
      </c>
      <c r="F145" s="88">
        <f t="shared" si="24"/>
        <v>806415</v>
      </c>
      <c r="G145" s="88">
        <f t="shared" si="24"/>
        <v>2130900</v>
      </c>
      <c r="H145" s="88">
        <f t="shared" si="24"/>
        <v>2594250</v>
      </c>
      <c r="I145" s="185"/>
      <c r="J145" s="211"/>
      <c r="K145" s="211"/>
      <c r="L145" s="211"/>
      <c r="M145" s="211"/>
      <c r="N145" s="94"/>
    </row>
    <row r="146" spans="1:14" s="95" customFormat="1" ht="24" customHeight="1" outlineLevel="1" x14ac:dyDescent="0.2">
      <c r="A146" s="201"/>
      <c r="B146" s="213"/>
      <c r="C146" s="184" t="s">
        <v>256</v>
      </c>
      <c r="D146" s="93" t="s">
        <v>6</v>
      </c>
      <c r="E146" s="57">
        <f t="shared" ref="E146:E151" si="25">SUM(F146:H146)</f>
        <v>4363815</v>
      </c>
      <c r="F146" s="57">
        <f>SUM(F147:F148)</f>
        <v>806415</v>
      </c>
      <c r="G146" s="57">
        <f>SUM(G147:G148)</f>
        <v>3249400</v>
      </c>
      <c r="H146" s="57">
        <f>SUM(H147:H148)</f>
        <v>308000</v>
      </c>
      <c r="I146" s="185"/>
      <c r="J146" s="96"/>
      <c r="K146" s="96"/>
      <c r="L146" s="96"/>
      <c r="M146" s="96"/>
      <c r="N146" s="94"/>
    </row>
    <row r="147" spans="1:14" s="95" customFormat="1" ht="24" customHeight="1" outlineLevel="1" x14ac:dyDescent="0.2">
      <c r="A147" s="201"/>
      <c r="B147" s="213"/>
      <c r="C147" s="185"/>
      <c r="D147" s="93" t="s">
        <v>10</v>
      </c>
      <c r="E147" s="57">
        <f t="shared" si="25"/>
        <v>1118500</v>
      </c>
      <c r="F147" s="88">
        <f t="shared" ref="F147:H148" si="26">F156+F192</f>
        <v>0</v>
      </c>
      <c r="G147" s="88">
        <f t="shared" si="26"/>
        <v>1118500</v>
      </c>
      <c r="H147" s="88">
        <f t="shared" si="26"/>
        <v>0</v>
      </c>
      <c r="I147" s="185"/>
      <c r="J147" s="96"/>
      <c r="K147" s="96"/>
      <c r="L147" s="96"/>
      <c r="M147" s="96"/>
      <c r="N147" s="94"/>
    </row>
    <row r="148" spans="1:14" s="95" customFormat="1" ht="24" customHeight="1" outlineLevel="1" x14ac:dyDescent="0.2">
      <c r="A148" s="201"/>
      <c r="B148" s="213"/>
      <c r="C148" s="186"/>
      <c r="D148" s="93" t="s">
        <v>11</v>
      </c>
      <c r="E148" s="57">
        <f t="shared" si="25"/>
        <v>3245315</v>
      </c>
      <c r="F148" s="88">
        <f t="shared" si="26"/>
        <v>806415</v>
      </c>
      <c r="G148" s="88">
        <f t="shared" si="26"/>
        <v>2130900</v>
      </c>
      <c r="H148" s="88">
        <f t="shared" si="26"/>
        <v>308000</v>
      </c>
      <c r="I148" s="185"/>
      <c r="J148" s="96"/>
      <c r="K148" s="96"/>
      <c r="L148" s="96"/>
      <c r="M148" s="96"/>
      <c r="N148" s="94"/>
    </row>
    <row r="149" spans="1:14" s="95" customFormat="1" ht="15" customHeight="1" outlineLevel="1" x14ac:dyDescent="0.2">
      <c r="A149" s="201"/>
      <c r="B149" s="213"/>
      <c r="C149" s="184" t="s">
        <v>257</v>
      </c>
      <c r="D149" s="93" t="s">
        <v>6</v>
      </c>
      <c r="E149" s="57">
        <f t="shared" si="25"/>
        <v>2286250</v>
      </c>
      <c r="F149" s="57">
        <f>SUM(F150:F151)</f>
        <v>0</v>
      </c>
      <c r="G149" s="57">
        <f>SUM(G150:G151)</f>
        <v>0</v>
      </c>
      <c r="H149" s="57">
        <f>SUM(H150:H151)</f>
        <v>2286250</v>
      </c>
      <c r="I149" s="185"/>
      <c r="J149" s="96"/>
      <c r="K149" s="96"/>
      <c r="L149" s="96"/>
      <c r="M149" s="96"/>
      <c r="N149" s="94"/>
    </row>
    <row r="150" spans="1:14" s="95" customFormat="1" ht="15" customHeight="1" outlineLevel="1" x14ac:dyDescent="0.2">
      <c r="A150" s="201"/>
      <c r="B150" s="213"/>
      <c r="C150" s="185"/>
      <c r="D150" s="93" t="s">
        <v>10</v>
      </c>
      <c r="E150" s="57">
        <f t="shared" si="25"/>
        <v>0</v>
      </c>
      <c r="F150" s="88">
        <f t="shared" ref="F150:H151" si="27">F159+F195</f>
        <v>0</v>
      </c>
      <c r="G150" s="88">
        <f t="shared" si="27"/>
        <v>0</v>
      </c>
      <c r="H150" s="88">
        <f t="shared" si="27"/>
        <v>0</v>
      </c>
      <c r="I150" s="185"/>
      <c r="J150" s="96"/>
      <c r="K150" s="96"/>
      <c r="L150" s="96"/>
      <c r="M150" s="96"/>
      <c r="N150" s="94"/>
    </row>
    <row r="151" spans="1:14" s="95" customFormat="1" ht="15" customHeight="1" outlineLevel="1" x14ac:dyDescent="0.2">
      <c r="A151" s="201"/>
      <c r="B151" s="213"/>
      <c r="C151" s="186"/>
      <c r="D151" s="93" t="s">
        <v>11</v>
      </c>
      <c r="E151" s="57">
        <f t="shared" si="25"/>
        <v>2286250</v>
      </c>
      <c r="F151" s="88">
        <f t="shared" si="27"/>
        <v>0</v>
      </c>
      <c r="G151" s="88">
        <f t="shared" si="27"/>
        <v>0</v>
      </c>
      <c r="H151" s="88">
        <f t="shared" si="27"/>
        <v>2286250</v>
      </c>
      <c r="I151" s="186"/>
      <c r="J151" s="96"/>
      <c r="K151" s="96"/>
      <c r="L151" s="96"/>
      <c r="M151" s="96"/>
      <c r="N151" s="94"/>
    </row>
    <row r="152" spans="1:14" ht="21" customHeight="1" outlineLevel="2" x14ac:dyDescent="0.25">
      <c r="A152" s="197" t="s">
        <v>106</v>
      </c>
      <c r="B152" s="196" t="s">
        <v>25</v>
      </c>
      <c r="C152" s="184"/>
      <c r="D152" s="93" t="s">
        <v>6</v>
      </c>
      <c r="E152" s="57">
        <f>SUM(F152:H152)</f>
        <v>6070128</v>
      </c>
      <c r="F152" s="57">
        <f>SUM(F153:F154)</f>
        <v>534478</v>
      </c>
      <c r="G152" s="57">
        <f>SUM(G153:G154)</f>
        <v>3249400</v>
      </c>
      <c r="H152" s="57">
        <f>SUM(H153:H154)</f>
        <v>2286250</v>
      </c>
      <c r="I152" s="184" t="s">
        <v>24</v>
      </c>
      <c r="J152" s="198" t="s">
        <v>78</v>
      </c>
      <c r="K152" s="198">
        <v>2</v>
      </c>
      <c r="L152" s="198">
        <v>3</v>
      </c>
      <c r="M152" s="198">
        <v>4</v>
      </c>
      <c r="N152" s="94"/>
    </row>
    <row r="153" spans="1:14" ht="21" customHeight="1" outlineLevel="2" x14ac:dyDescent="0.25">
      <c r="A153" s="197"/>
      <c r="B153" s="196"/>
      <c r="C153" s="185"/>
      <c r="D153" s="96" t="s">
        <v>10</v>
      </c>
      <c r="E153" s="83">
        <f>SUM(F153:H153)</f>
        <v>1118500</v>
      </c>
      <c r="F153" s="12">
        <f t="shared" ref="F153:H154" si="28">F162+F171+F180</f>
        <v>0</v>
      </c>
      <c r="G153" s="12">
        <f t="shared" si="28"/>
        <v>1118500</v>
      </c>
      <c r="H153" s="12">
        <f t="shared" si="28"/>
        <v>0</v>
      </c>
      <c r="I153" s="185"/>
      <c r="J153" s="199"/>
      <c r="K153" s="199"/>
      <c r="L153" s="199"/>
      <c r="M153" s="199"/>
      <c r="N153" s="94"/>
    </row>
    <row r="154" spans="1:14" ht="21" customHeight="1" outlineLevel="2" x14ac:dyDescent="0.25">
      <c r="A154" s="197"/>
      <c r="B154" s="196"/>
      <c r="C154" s="186"/>
      <c r="D154" s="96" t="s">
        <v>11</v>
      </c>
      <c r="E154" s="83">
        <f>SUM(F154:H154)</f>
        <v>4951628</v>
      </c>
      <c r="F154" s="12">
        <f t="shared" si="28"/>
        <v>534478</v>
      </c>
      <c r="G154" s="12">
        <f t="shared" si="28"/>
        <v>2130900</v>
      </c>
      <c r="H154" s="12">
        <f t="shared" si="28"/>
        <v>2286250</v>
      </c>
      <c r="I154" s="185"/>
      <c r="J154" s="199"/>
      <c r="K154" s="199"/>
      <c r="L154" s="199"/>
      <c r="M154" s="199"/>
      <c r="N154" s="94"/>
    </row>
    <row r="155" spans="1:14" ht="24" customHeight="1" outlineLevel="2" x14ac:dyDescent="0.25">
      <c r="A155" s="197"/>
      <c r="B155" s="196"/>
      <c r="C155" s="184" t="s">
        <v>256</v>
      </c>
      <c r="D155" s="93" t="s">
        <v>6</v>
      </c>
      <c r="E155" s="57">
        <f t="shared" ref="E155:E160" si="29">SUM(F155:H155)</f>
        <v>3783878</v>
      </c>
      <c r="F155" s="57">
        <f>SUM(F156:F157)</f>
        <v>534478</v>
      </c>
      <c r="G155" s="57">
        <f>SUM(G156:G157)</f>
        <v>3249400</v>
      </c>
      <c r="H155" s="57">
        <f>SUM(H156:H157)</f>
        <v>0</v>
      </c>
      <c r="I155" s="185"/>
      <c r="J155" s="199"/>
      <c r="K155" s="199"/>
      <c r="L155" s="199"/>
      <c r="M155" s="199"/>
      <c r="N155" s="94"/>
    </row>
    <row r="156" spans="1:14" ht="24" customHeight="1" outlineLevel="2" x14ac:dyDescent="0.25">
      <c r="A156" s="197"/>
      <c r="B156" s="196"/>
      <c r="C156" s="185"/>
      <c r="D156" s="96" t="s">
        <v>10</v>
      </c>
      <c r="E156" s="83">
        <f t="shared" si="29"/>
        <v>1118500</v>
      </c>
      <c r="F156" s="12">
        <f t="shared" ref="F156:H157" si="30">F165+F174+F183</f>
        <v>0</v>
      </c>
      <c r="G156" s="12">
        <f t="shared" si="30"/>
        <v>1118500</v>
      </c>
      <c r="H156" s="12">
        <f t="shared" si="30"/>
        <v>0</v>
      </c>
      <c r="I156" s="185"/>
      <c r="J156" s="199"/>
      <c r="K156" s="199"/>
      <c r="L156" s="199"/>
      <c r="M156" s="199"/>
      <c r="N156" s="94"/>
    </row>
    <row r="157" spans="1:14" ht="24" customHeight="1" outlineLevel="2" x14ac:dyDescent="0.25">
      <c r="A157" s="197"/>
      <c r="B157" s="196"/>
      <c r="C157" s="186"/>
      <c r="D157" s="96" t="s">
        <v>11</v>
      </c>
      <c r="E157" s="83">
        <f t="shared" si="29"/>
        <v>2665378</v>
      </c>
      <c r="F157" s="12">
        <f t="shared" si="30"/>
        <v>534478</v>
      </c>
      <c r="G157" s="12">
        <f>G166+G175+G184</f>
        <v>2130900</v>
      </c>
      <c r="H157" s="12">
        <f t="shared" si="30"/>
        <v>0</v>
      </c>
      <c r="I157" s="185"/>
      <c r="J157" s="199"/>
      <c r="K157" s="199"/>
      <c r="L157" s="199"/>
      <c r="M157" s="199"/>
      <c r="N157" s="94"/>
    </row>
    <row r="158" spans="1:14" ht="15" customHeight="1" outlineLevel="2" x14ac:dyDescent="0.25">
      <c r="A158" s="197"/>
      <c r="B158" s="196"/>
      <c r="C158" s="184" t="s">
        <v>257</v>
      </c>
      <c r="D158" s="93" t="s">
        <v>6</v>
      </c>
      <c r="E158" s="57">
        <f t="shared" si="29"/>
        <v>2286250</v>
      </c>
      <c r="F158" s="57">
        <f>SUM(F159:F160)</f>
        <v>0</v>
      </c>
      <c r="G158" s="57">
        <f>SUM(G159:G160)</f>
        <v>0</v>
      </c>
      <c r="H158" s="57">
        <f>SUM(H159:H160)</f>
        <v>2286250</v>
      </c>
      <c r="I158" s="185"/>
      <c r="J158" s="199"/>
      <c r="K158" s="199"/>
      <c r="L158" s="199"/>
      <c r="M158" s="199"/>
      <c r="N158" s="94"/>
    </row>
    <row r="159" spans="1:14" ht="15" customHeight="1" outlineLevel="2" x14ac:dyDescent="0.25">
      <c r="A159" s="197"/>
      <c r="B159" s="196"/>
      <c r="C159" s="185"/>
      <c r="D159" s="96" t="s">
        <v>10</v>
      </c>
      <c r="E159" s="83">
        <f t="shared" si="29"/>
        <v>0</v>
      </c>
      <c r="F159" s="12">
        <f t="shared" ref="F159:H160" si="31">F168+F177+F186</f>
        <v>0</v>
      </c>
      <c r="G159" s="12">
        <f t="shared" si="31"/>
        <v>0</v>
      </c>
      <c r="H159" s="12">
        <f t="shared" si="31"/>
        <v>0</v>
      </c>
      <c r="I159" s="185"/>
      <c r="J159" s="199"/>
      <c r="K159" s="199"/>
      <c r="L159" s="199"/>
      <c r="M159" s="199"/>
      <c r="N159" s="94"/>
    </row>
    <row r="160" spans="1:14" ht="15" customHeight="1" outlineLevel="2" x14ac:dyDescent="0.25">
      <c r="A160" s="197"/>
      <c r="B160" s="196"/>
      <c r="C160" s="186"/>
      <c r="D160" s="96" t="s">
        <v>11</v>
      </c>
      <c r="E160" s="83">
        <f t="shared" si="29"/>
        <v>2286250</v>
      </c>
      <c r="F160" s="12">
        <f t="shared" si="31"/>
        <v>0</v>
      </c>
      <c r="G160" s="12">
        <f t="shared" si="31"/>
        <v>0</v>
      </c>
      <c r="H160" s="12">
        <f t="shared" si="31"/>
        <v>2286250</v>
      </c>
      <c r="I160" s="185"/>
      <c r="J160" s="199"/>
      <c r="K160" s="199"/>
      <c r="L160" s="199"/>
      <c r="M160" s="199"/>
      <c r="N160" s="94"/>
    </row>
    <row r="161" spans="1:14" ht="21" customHeight="1" outlineLevel="3" x14ac:dyDescent="0.25">
      <c r="A161" s="197" t="s">
        <v>26</v>
      </c>
      <c r="B161" s="196" t="s">
        <v>27</v>
      </c>
      <c r="C161" s="184"/>
      <c r="D161" s="93" t="s">
        <v>6</v>
      </c>
      <c r="E161" s="57">
        <f>SUM(F161:H161)</f>
        <v>2876500</v>
      </c>
      <c r="F161" s="57">
        <f>SUM(F162:F163)</f>
        <v>0</v>
      </c>
      <c r="G161" s="57">
        <f>SUM(G162:G163)</f>
        <v>2876500</v>
      </c>
      <c r="H161" s="57">
        <f>SUM(H162:H163)</f>
        <v>0</v>
      </c>
      <c r="I161" s="185"/>
      <c r="J161" s="199"/>
      <c r="K161" s="199"/>
      <c r="L161" s="199"/>
      <c r="M161" s="199"/>
      <c r="N161" s="94"/>
    </row>
    <row r="162" spans="1:14" ht="21" customHeight="1" outlineLevel="3" x14ac:dyDescent="0.25">
      <c r="A162" s="197"/>
      <c r="B162" s="196"/>
      <c r="C162" s="185"/>
      <c r="D162" s="96" t="s">
        <v>10</v>
      </c>
      <c r="E162" s="83">
        <f>SUM(F162:H162)</f>
        <v>905600</v>
      </c>
      <c r="F162" s="12">
        <v>0</v>
      </c>
      <c r="G162" s="12">
        <v>905600</v>
      </c>
      <c r="H162" s="12">
        <v>0</v>
      </c>
      <c r="I162" s="185"/>
      <c r="J162" s="199"/>
      <c r="K162" s="199"/>
      <c r="L162" s="199"/>
      <c r="M162" s="199"/>
      <c r="N162" s="94"/>
    </row>
    <row r="163" spans="1:14" ht="21" customHeight="1" outlineLevel="3" x14ac:dyDescent="0.25">
      <c r="A163" s="197"/>
      <c r="B163" s="196"/>
      <c r="C163" s="186"/>
      <c r="D163" s="96" t="s">
        <v>11</v>
      </c>
      <c r="E163" s="83">
        <f>SUM(F163:H163)</f>
        <v>1970900</v>
      </c>
      <c r="F163" s="12">
        <v>0</v>
      </c>
      <c r="G163" s="12">
        <v>1970900</v>
      </c>
      <c r="H163" s="12">
        <v>0</v>
      </c>
      <c r="I163" s="185"/>
      <c r="J163" s="199"/>
      <c r="K163" s="199"/>
      <c r="L163" s="199"/>
      <c r="M163" s="199"/>
      <c r="N163" s="94"/>
    </row>
    <row r="164" spans="1:14" ht="24" customHeight="1" outlineLevel="3" x14ac:dyDescent="0.25">
      <c r="A164" s="197"/>
      <c r="B164" s="196"/>
      <c r="C164" s="184" t="s">
        <v>256</v>
      </c>
      <c r="D164" s="93" t="s">
        <v>6</v>
      </c>
      <c r="E164" s="57">
        <f t="shared" ref="E164:E169" si="32">SUM(F164:H164)</f>
        <v>2876500</v>
      </c>
      <c r="F164" s="57">
        <f>SUM(F165:F166)</f>
        <v>0</v>
      </c>
      <c r="G164" s="57">
        <f>SUM(G165:G166)</f>
        <v>2876500</v>
      </c>
      <c r="H164" s="57">
        <f>SUM(H165:H166)</f>
        <v>0</v>
      </c>
      <c r="I164" s="185"/>
      <c r="J164" s="199"/>
      <c r="K164" s="199"/>
      <c r="L164" s="199"/>
      <c r="M164" s="199"/>
      <c r="N164" s="94"/>
    </row>
    <row r="165" spans="1:14" ht="24" customHeight="1" outlineLevel="3" x14ac:dyDescent="0.25">
      <c r="A165" s="197"/>
      <c r="B165" s="196"/>
      <c r="C165" s="185"/>
      <c r="D165" s="96" t="s">
        <v>10</v>
      </c>
      <c r="E165" s="83">
        <f t="shared" si="32"/>
        <v>905600</v>
      </c>
      <c r="F165" s="12">
        <v>0</v>
      </c>
      <c r="G165" s="12">
        <v>905600</v>
      </c>
      <c r="H165" s="12">
        <v>0</v>
      </c>
      <c r="I165" s="185"/>
      <c r="J165" s="199"/>
      <c r="K165" s="199"/>
      <c r="L165" s="199"/>
      <c r="M165" s="199"/>
      <c r="N165" s="94"/>
    </row>
    <row r="166" spans="1:14" ht="24" customHeight="1" outlineLevel="3" x14ac:dyDescent="0.25">
      <c r="A166" s="197"/>
      <c r="B166" s="196"/>
      <c r="C166" s="186"/>
      <c r="D166" s="96" t="s">
        <v>11</v>
      </c>
      <c r="E166" s="83">
        <f t="shared" si="32"/>
        <v>1970900</v>
      </c>
      <c r="F166" s="12">
        <v>0</v>
      </c>
      <c r="G166" s="12">
        <v>1970900</v>
      </c>
      <c r="H166" s="12">
        <v>0</v>
      </c>
      <c r="I166" s="185"/>
      <c r="J166" s="199"/>
      <c r="K166" s="199"/>
      <c r="L166" s="199"/>
      <c r="M166" s="199"/>
      <c r="N166" s="94"/>
    </row>
    <row r="167" spans="1:14" ht="15" customHeight="1" outlineLevel="3" x14ac:dyDescent="0.25">
      <c r="A167" s="197"/>
      <c r="B167" s="196"/>
      <c r="C167" s="184" t="s">
        <v>257</v>
      </c>
      <c r="D167" s="93" t="s">
        <v>6</v>
      </c>
      <c r="E167" s="57">
        <f t="shared" si="32"/>
        <v>0</v>
      </c>
      <c r="F167" s="57">
        <f>SUM(F168:F169)</f>
        <v>0</v>
      </c>
      <c r="G167" s="57">
        <f>SUM(G168:G169)</f>
        <v>0</v>
      </c>
      <c r="H167" s="57">
        <f>SUM(H168:H169)</f>
        <v>0</v>
      </c>
      <c r="I167" s="185"/>
      <c r="J167" s="199"/>
      <c r="K167" s="199"/>
      <c r="L167" s="199"/>
      <c r="M167" s="199"/>
      <c r="N167" s="94"/>
    </row>
    <row r="168" spans="1:14" ht="15" customHeight="1" outlineLevel="3" x14ac:dyDescent="0.25">
      <c r="A168" s="197"/>
      <c r="B168" s="196"/>
      <c r="C168" s="185"/>
      <c r="D168" s="96" t="s">
        <v>10</v>
      </c>
      <c r="E168" s="83">
        <f t="shared" si="32"/>
        <v>0</v>
      </c>
      <c r="F168" s="12">
        <v>0</v>
      </c>
      <c r="G168" s="12">
        <v>0</v>
      </c>
      <c r="H168" s="12">
        <v>0</v>
      </c>
      <c r="I168" s="185"/>
      <c r="J168" s="199"/>
      <c r="K168" s="199"/>
      <c r="L168" s="199"/>
      <c r="M168" s="199"/>
      <c r="N168" s="94"/>
    </row>
    <row r="169" spans="1:14" ht="15" customHeight="1" outlineLevel="3" x14ac:dyDescent="0.25">
      <c r="A169" s="197"/>
      <c r="B169" s="196"/>
      <c r="C169" s="186"/>
      <c r="D169" s="96" t="s">
        <v>11</v>
      </c>
      <c r="E169" s="83">
        <f t="shared" si="32"/>
        <v>0</v>
      </c>
      <c r="F169" s="12">
        <v>0</v>
      </c>
      <c r="G169" s="12">
        <v>0</v>
      </c>
      <c r="H169" s="12">
        <v>0</v>
      </c>
      <c r="I169" s="185"/>
      <c r="J169" s="199"/>
      <c r="K169" s="199"/>
      <c r="L169" s="199"/>
      <c r="M169" s="199"/>
      <c r="N169" s="94"/>
    </row>
    <row r="170" spans="1:14" ht="21" customHeight="1" outlineLevel="3" x14ac:dyDescent="0.25">
      <c r="A170" s="197" t="s">
        <v>28</v>
      </c>
      <c r="B170" s="196" t="s">
        <v>29</v>
      </c>
      <c r="C170" s="184"/>
      <c r="D170" s="93" t="s">
        <v>6</v>
      </c>
      <c r="E170" s="57">
        <f>SUM(F170:H170)</f>
        <v>312900</v>
      </c>
      <c r="F170" s="57">
        <f>SUM(F171:F172)</f>
        <v>0</v>
      </c>
      <c r="G170" s="57">
        <f>SUM(G171:G172)</f>
        <v>312900</v>
      </c>
      <c r="H170" s="57">
        <f>SUM(H171:H172)</f>
        <v>0</v>
      </c>
      <c r="I170" s="185"/>
      <c r="J170" s="199"/>
      <c r="K170" s="199"/>
      <c r="L170" s="199"/>
      <c r="M170" s="199"/>
      <c r="N170" s="94"/>
    </row>
    <row r="171" spans="1:14" ht="21" customHeight="1" outlineLevel="3" x14ac:dyDescent="0.25">
      <c r="A171" s="197"/>
      <c r="B171" s="196"/>
      <c r="C171" s="185"/>
      <c r="D171" s="96" t="s">
        <v>10</v>
      </c>
      <c r="E171" s="83">
        <f>SUM(F171:H171)</f>
        <v>212900</v>
      </c>
      <c r="F171" s="12">
        <v>0</v>
      </c>
      <c r="G171" s="12">
        <v>212900</v>
      </c>
      <c r="H171" s="12">
        <v>0</v>
      </c>
      <c r="I171" s="185"/>
      <c r="J171" s="199"/>
      <c r="K171" s="199"/>
      <c r="L171" s="199"/>
      <c r="M171" s="199"/>
      <c r="N171" s="94"/>
    </row>
    <row r="172" spans="1:14" ht="21" customHeight="1" outlineLevel="3" x14ac:dyDescent="0.25">
      <c r="A172" s="197"/>
      <c r="B172" s="196"/>
      <c r="C172" s="186"/>
      <c r="D172" s="96" t="s">
        <v>11</v>
      </c>
      <c r="E172" s="83">
        <f>SUM(F172:H172)</f>
        <v>100000</v>
      </c>
      <c r="F172" s="12">
        <v>0</v>
      </c>
      <c r="G172" s="12">
        <v>100000</v>
      </c>
      <c r="H172" s="89">
        <v>0</v>
      </c>
      <c r="I172" s="185"/>
      <c r="J172" s="199"/>
      <c r="K172" s="199"/>
      <c r="L172" s="199"/>
      <c r="M172" s="199"/>
      <c r="N172" s="94"/>
    </row>
    <row r="173" spans="1:14" ht="24" customHeight="1" outlineLevel="3" x14ac:dyDescent="0.25">
      <c r="A173" s="197"/>
      <c r="B173" s="196"/>
      <c r="C173" s="184" t="s">
        <v>256</v>
      </c>
      <c r="D173" s="93" t="s">
        <v>6</v>
      </c>
      <c r="E173" s="57">
        <f t="shared" ref="E173:E178" si="33">SUM(F173:H173)</f>
        <v>312900</v>
      </c>
      <c r="F173" s="57">
        <f>SUM(F174:F175)</f>
        <v>0</v>
      </c>
      <c r="G173" s="57">
        <f>SUM(G174:G175)</f>
        <v>312900</v>
      </c>
      <c r="H173" s="57">
        <f>SUM(H174:H175)</f>
        <v>0</v>
      </c>
      <c r="I173" s="185"/>
      <c r="J173" s="199"/>
      <c r="K173" s="199"/>
      <c r="L173" s="199"/>
      <c r="M173" s="199"/>
      <c r="N173" s="94"/>
    </row>
    <row r="174" spans="1:14" ht="24" customHeight="1" outlineLevel="3" x14ac:dyDescent="0.25">
      <c r="A174" s="197"/>
      <c r="B174" s="196"/>
      <c r="C174" s="185"/>
      <c r="D174" s="96" t="s">
        <v>10</v>
      </c>
      <c r="E174" s="83">
        <f t="shared" si="33"/>
        <v>212900</v>
      </c>
      <c r="F174" s="12">
        <v>0</v>
      </c>
      <c r="G174" s="12">
        <v>212900</v>
      </c>
      <c r="H174" s="12">
        <v>0</v>
      </c>
      <c r="I174" s="185"/>
      <c r="J174" s="199"/>
      <c r="K174" s="199"/>
      <c r="L174" s="199"/>
      <c r="M174" s="199"/>
      <c r="N174" s="94"/>
    </row>
    <row r="175" spans="1:14" ht="24" customHeight="1" outlineLevel="3" x14ac:dyDescent="0.25">
      <c r="A175" s="197"/>
      <c r="B175" s="196"/>
      <c r="C175" s="186"/>
      <c r="D175" s="96" t="s">
        <v>11</v>
      </c>
      <c r="E175" s="83">
        <f t="shared" si="33"/>
        <v>100000</v>
      </c>
      <c r="F175" s="12">
        <v>0</v>
      </c>
      <c r="G175" s="12">
        <v>100000</v>
      </c>
      <c r="H175" s="89">
        <v>0</v>
      </c>
      <c r="I175" s="185"/>
      <c r="J175" s="199"/>
      <c r="K175" s="199"/>
      <c r="L175" s="199"/>
      <c r="M175" s="199"/>
      <c r="N175" s="94"/>
    </row>
    <row r="176" spans="1:14" ht="15" customHeight="1" outlineLevel="3" x14ac:dyDescent="0.25">
      <c r="A176" s="197"/>
      <c r="B176" s="196"/>
      <c r="C176" s="184" t="s">
        <v>257</v>
      </c>
      <c r="D176" s="93" t="s">
        <v>6</v>
      </c>
      <c r="E176" s="57">
        <f t="shared" si="33"/>
        <v>0</v>
      </c>
      <c r="F176" s="57">
        <f>SUM(F177:F178)</f>
        <v>0</v>
      </c>
      <c r="G176" s="57">
        <f>SUM(G177:G178)</f>
        <v>0</v>
      </c>
      <c r="H176" s="57">
        <f>SUM(H177:H178)</f>
        <v>0</v>
      </c>
      <c r="I176" s="185"/>
      <c r="J176" s="199"/>
      <c r="K176" s="199"/>
      <c r="L176" s="199"/>
      <c r="M176" s="199"/>
      <c r="N176" s="94"/>
    </row>
    <row r="177" spans="1:14" ht="15" customHeight="1" outlineLevel="3" x14ac:dyDescent="0.25">
      <c r="A177" s="197"/>
      <c r="B177" s="196"/>
      <c r="C177" s="185"/>
      <c r="D177" s="96" t="s">
        <v>10</v>
      </c>
      <c r="E177" s="83">
        <f t="shared" si="33"/>
        <v>0</v>
      </c>
      <c r="F177" s="12">
        <v>0</v>
      </c>
      <c r="G177" s="12">
        <v>0</v>
      </c>
      <c r="H177" s="12">
        <v>0</v>
      </c>
      <c r="I177" s="185"/>
      <c r="J177" s="199"/>
      <c r="K177" s="199"/>
      <c r="L177" s="199"/>
      <c r="M177" s="199"/>
      <c r="N177" s="94"/>
    </row>
    <row r="178" spans="1:14" ht="15" customHeight="1" outlineLevel="3" x14ac:dyDescent="0.25">
      <c r="A178" s="197"/>
      <c r="B178" s="196"/>
      <c r="C178" s="186"/>
      <c r="D178" s="96" t="s">
        <v>11</v>
      </c>
      <c r="E178" s="83">
        <f t="shared" si="33"/>
        <v>0</v>
      </c>
      <c r="F178" s="12">
        <v>0</v>
      </c>
      <c r="G178" s="12">
        <v>0</v>
      </c>
      <c r="H178" s="89">
        <v>0</v>
      </c>
      <c r="I178" s="185"/>
      <c r="J178" s="199"/>
      <c r="K178" s="199"/>
      <c r="L178" s="199"/>
      <c r="M178" s="199"/>
      <c r="N178" s="94"/>
    </row>
    <row r="179" spans="1:14" ht="21" customHeight="1" outlineLevel="3" x14ac:dyDescent="0.25">
      <c r="A179" s="197" t="s">
        <v>73</v>
      </c>
      <c r="B179" s="196" t="s">
        <v>65</v>
      </c>
      <c r="C179" s="184"/>
      <c r="D179" s="93" t="s">
        <v>6</v>
      </c>
      <c r="E179" s="57">
        <f>SUM(F179:H179)</f>
        <v>2880728</v>
      </c>
      <c r="F179" s="57">
        <f>SUM(F180:F181)</f>
        <v>534478</v>
      </c>
      <c r="G179" s="57">
        <f>SUM(G180:G181)</f>
        <v>60000</v>
      </c>
      <c r="H179" s="57">
        <f>SUM(H180:H181)</f>
        <v>2286250</v>
      </c>
      <c r="I179" s="185"/>
      <c r="J179" s="199"/>
      <c r="K179" s="199"/>
      <c r="L179" s="199"/>
      <c r="M179" s="199"/>
      <c r="N179" s="94"/>
    </row>
    <row r="180" spans="1:14" ht="21" customHeight="1" outlineLevel="3" x14ac:dyDescent="0.25">
      <c r="A180" s="197"/>
      <c r="B180" s="196"/>
      <c r="C180" s="185"/>
      <c r="D180" s="96" t="s">
        <v>10</v>
      </c>
      <c r="E180" s="83">
        <f>SUM(F180:H180)</f>
        <v>0</v>
      </c>
      <c r="F180" s="12">
        <v>0</v>
      </c>
      <c r="G180" s="12">
        <v>0</v>
      </c>
      <c r="H180" s="12">
        <v>0</v>
      </c>
      <c r="I180" s="185"/>
      <c r="J180" s="199"/>
      <c r="K180" s="199"/>
      <c r="L180" s="199"/>
      <c r="M180" s="199"/>
      <c r="N180" s="94"/>
    </row>
    <row r="181" spans="1:14" ht="21" customHeight="1" outlineLevel="3" x14ac:dyDescent="0.25">
      <c r="A181" s="197"/>
      <c r="B181" s="196"/>
      <c r="C181" s="186"/>
      <c r="D181" s="96" t="s">
        <v>11</v>
      </c>
      <c r="E181" s="83">
        <f>SUM(F181:H181)</f>
        <v>2880728</v>
      </c>
      <c r="F181" s="12">
        <v>534478</v>
      </c>
      <c r="G181" s="12">
        <v>60000</v>
      </c>
      <c r="H181" s="12">
        <f>1753810+532440</f>
        <v>2286250</v>
      </c>
      <c r="I181" s="185"/>
      <c r="J181" s="199"/>
      <c r="K181" s="199"/>
      <c r="L181" s="199"/>
      <c r="M181" s="199"/>
      <c r="N181" s="94"/>
    </row>
    <row r="182" spans="1:14" ht="24" customHeight="1" outlineLevel="3" x14ac:dyDescent="0.25">
      <c r="A182" s="197"/>
      <c r="B182" s="196"/>
      <c r="C182" s="184" t="s">
        <v>256</v>
      </c>
      <c r="D182" s="93" t="s">
        <v>6</v>
      </c>
      <c r="E182" s="57">
        <f t="shared" ref="E182:E187" si="34">SUM(F182:H182)</f>
        <v>594478</v>
      </c>
      <c r="F182" s="57">
        <f>SUM(F183:F184)</f>
        <v>534478</v>
      </c>
      <c r="G182" s="57">
        <f>SUM(G183:G184)</f>
        <v>60000</v>
      </c>
      <c r="H182" s="57">
        <f>SUM(H183:H184)</f>
        <v>0</v>
      </c>
      <c r="I182" s="185"/>
      <c r="J182" s="199"/>
      <c r="K182" s="199"/>
      <c r="L182" s="199"/>
      <c r="M182" s="199"/>
      <c r="N182" s="94"/>
    </row>
    <row r="183" spans="1:14" ht="24" customHeight="1" outlineLevel="3" x14ac:dyDescent="0.25">
      <c r="A183" s="197"/>
      <c r="B183" s="196"/>
      <c r="C183" s="185"/>
      <c r="D183" s="96" t="s">
        <v>10</v>
      </c>
      <c r="E183" s="83">
        <f t="shared" si="34"/>
        <v>0</v>
      </c>
      <c r="F183" s="12">
        <v>0</v>
      </c>
      <c r="G183" s="12">
        <v>0</v>
      </c>
      <c r="H183" s="12">
        <v>0</v>
      </c>
      <c r="I183" s="185"/>
      <c r="J183" s="199"/>
      <c r="K183" s="199"/>
      <c r="L183" s="199"/>
      <c r="M183" s="199"/>
      <c r="N183" s="94"/>
    </row>
    <row r="184" spans="1:14" ht="24" customHeight="1" outlineLevel="3" x14ac:dyDescent="0.25">
      <c r="A184" s="197"/>
      <c r="B184" s="196"/>
      <c r="C184" s="186"/>
      <c r="D184" s="96" t="s">
        <v>11</v>
      </c>
      <c r="E184" s="83">
        <f t="shared" si="34"/>
        <v>594478</v>
      </c>
      <c r="F184" s="12">
        <v>534478</v>
      </c>
      <c r="G184" s="12">
        <v>60000</v>
      </c>
      <c r="H184" s="12">
        <v>0</v>
      </c>
      <c r="I184" s="185"/>
      <c r="J184" s="199"/>
      <c r="K184" s="199"/>
      <c r="L184" s="199"/>
      <c r="M184" s="199"/>
      <c r="N184" s="94"/>
    </row>
    <row r="185" spans="1:14" ht="15" customHeight="1" outlineLevel="3" x14ac:dyDescent="0.25">
      <c r="A185" s="197"/>
      <c r="B185" s="196"/>
      <c r="C185" s="184" t="s">
        <v>257</v>
      </c>
      <c r="D185" s="93" t="s">
        <v>6</v>
      </c>
      <c r="E185" s="57">
        <f t="shared" si="34"/>
        <v>2286250</v>
      </c>
      <c r="F185" s="57">
        <f>SUM(F186:F187)</f>
        <v>0</v>
      </c>
      <c r="G185" s="57">
        <f>SUM(G186:G187)</f>
        <v>0</v>
      </c>
      <c r="H185" s="57">
        <f>SUM(H186:H187)</f>
        <v>2286250</v>
      </c>
      <c r="I185" s="185"/>
      <c r="J185" s="199"/>
      <c r="K185" s="199"/>
      <c r="L185" s="199"/>
      <c r="M185" s="199"/>
      <c r="N185" s="94"/>
    </row>
    <row r="186" spans="1:14" ht="15" customHeight="1" outlineLevel="3" x14ac:dyDescent="0.25">
      <c r="A186" s="197"/>
      <c r="B186" s="196"/>
      <c r="C186" s="185"/>
      <c r="D186" s="96" t="s">
        <v>10</v>
      </c>
      <c r="E186" s="83">
        <f t="shared" si="34"/>
        <v>0</v>
      </c>
      <c r="F186" s="12">
        <v>0</v>
      </c>
      <c r="G186" s="12">
        <v>0</v>
      </c>
      <c r="H186" s="12">
        <v>0</v>
      </c>
      <c r="I186" s="185"/>
      <c r="J186" s="199"/>
      <c r="K186" s="199"/>
      <c r="L186" s="199"/>
      <c r="M186" s="199"/>
      <c r="N186" s="94"/>
    </row>
    <row r="187" spans="1:14" ht="15" customHeight="1" outlineLevel="3" x14ac:dyDescent="0.25">
      <c r="A187" s="197"/>
      <c r="B187" s="196"/>
      <c r="C187" s="186"/>
      <c r="D187" s="96" t="s">
        <v>11</v>
      </c>
      <c r="E187" s="83">
        <f t="shared" si="34"/>
        <v>2286250</v>
      </c>
      <c r="F187" s="12">
        <v>0</v>
      </c>
      <c r="G187" s="12">
        <v>0</v>
      </c>
      <c r="H187" s="12">
        <f>1753810+532440</f>
        <v>2286250</v>
      </c>
      <c r="I187" s="186"/>
      <c r="J187" s="200"/>
      <c r="K187" s="200"/>
      <c r="L187" s="200"/>
      <c r="M187" s="200"/>
      <c r="N187" s="94"/>
    </row>
    <row r="188" spans="1:14" ht="21" customHeight="1" outlineLevel="2" x14ac:dyDescent="0.25">
      <c r="A188" s="197" t="s">
        <v>72</v>
      </c>
      <c r="B188" s="196" t="s">
        <v>30</v>
      </c>
      <c r="C188" s="184"/>
      <c r="D188" s="93" t="s">
        <v>6</v>
      </c>
      <c r="E188" s="57">
        <v>579937</v>
      </c>
      <c r="F188" s="57">
        <f>SUM(F189:F190)</f>
        <v>271937</v>
      </c>
      <c r="G188" s="57">
        <f>SUM(G189:G190)</f>
        <v>0</v>
      </c>
      <c r="H188" s="57">
        <f>SUM(H189:H190)</f>
        <v>308000</v>
      </c>
      <c r="I188" s="184" t="s">
        <v>31</v>
      </c>
      <c r="J188" s="198" t="s">
        <v>9</v>
      </c>
      <c r="K188" s="198">
        <v>8.3000000000000007</v>
      </c>
      <c r="L188" s="198">
        <v>12.5</v>
      </c>
      <c r="M188" s="198">
        <v>16.600000000000001</v>
      </c>
      <c r="N188" s="94"/>
    </row>
    <row r="189" spans="1:14" ht="21" customHeight="1" outlineLevel="2" x14ac:dyDescent="0.25">
      <c r="A189" s="197"/>
      <c r="B189" s="196"/>
      <c r="C189" s="185"/>
      <c r="D189" s="96" t="s">
        <v>10</v>
      </c>
      <c r="E189" s="83">
        <v>0</v>
      </c>
      <c r="F189" s="12">
        <f t="shared" ref="F189:H190" si="35">F198</f>
        <v>0</v>
      </c>
      <c r="G189" s="12">
        <f t="shared" si="35"/>
        <v>0</v>
      </c>
      <c r="H189" s="12">
        <f t="shared" si="35"/>
        <v>0</v>
      </c>
      <c r="I189" s="185"/>
      <c r="J189" s="199"/>
      <c r="K189" s="199"/>
      <c r="L189" s="199"/>
      <c r="M189" s="199"/>
      <c r="N189" s="94"/>
    </row>
    <row r="190" spans="1:14" ht="21" customHeight="1" outlineLevel="2" x14ac:dyDescent="0.25">
      <c r="A190" s="197"/>
      <c r="B190" s="196"/>
      <c r="C190" s="186"/>
      <c r="D190" s="96" t="s">
        <v>11</v>
      </c>
      <c r="E190" s="83">
        <v>579937</v>
      </c>
      <c r="F190" s="12">
        <f>F199</f>
        <v>271937</v>
      </c>
      <c r="G190" s="12">
        <f t="shared" si="35"/>
        <v>0</v>
      </c>
      <c r="H190" s="12">
        <v>308000</v>
      </c>
      <c r="I190" s="185"/>
      <c r="J190" s="199"/>
      <c r="K190" s="199"/>
      <c r="L190" s="199"/>
      <c r="M190" s="199"/>
      <c r="N190" s="94"/>
    </row>
    <row r="191" spans="1:14" ht="24" customHeight="1" outlineLevel="2" x14ac:dyDescent="0.25">
      <c r="A191" s="197"/>
      <c r="B191" s="196"/>
      <c r="C191" s="184" t="s">
        <v>256</v>
      </c>
      <c r="D191" s="93" t="s">
        <v>6</v>
      </c>
      <c r="E191" s="57">
        <v>579937</v>
      </c>
      <c r="F191" s="57">
        <f>SUM(F192:F193)</f>
        <v>271937</v>
      </c>
      <c r="G191" s="57">
        <f>SUM(G192:G193)</f>
        <v>0</v>
      </c>
      <c r="H191" s="57">
        <f>SUM(H192:H193)</f>
        <v>308000</v>
      </c>
      <c r="I191" s="185"/>
      <c r="J191" s="199"/>
      <c r="K191" s="199"/>
      <c r="L191" s="199"/>
      <c r="M191" s="199"/>
      <c r="N191" s="94"/>
    </row>
    <row r="192" spans="1:14" ht="24" customHeight="1" outlineLevel="2" x14ac:dyDescent="0.25">
      <c r="A192" s="197"/>
      <c r="B192" s="196"/>
      <c r="C192" s="185"/>
      <c r="D192" s="96" t="s">
        <v>10</v>
      </c>
      <c r="E192" s="83">
        <v>0</v>
      </c>
      <c r="F192" s="12">
        <f t="shared" ref="F192:H193" si="36">F201</f>
        <v>0</v>
      </c>
      <c r="G192" s="12">
        <f t="shared" si="36"/>
        <v>0</v>
      </c>
      <c r="H192" s="12">
        <f t="shared" si="36"/>
        <v>0</v>
      </c>
      <c r="I192" s="185"/>
      <c r="J192" s="199"/>
      <c r="K192" s="199"/>
      <c r="L192" s="199"/>
      <c r="M192" s="199"/>
      <c r="N192" s="94"/>
    </row>
    <row r="193" spans="1:14" ht="24" customHeight="1" outlineLevel="2" x14ac:dyDescent="0.25">
      <c r="A193" s="197"/>
      <c r="B193" s="196"/>
      <c r="C193" s="186"/>
      <c r="D193" s="96" t="s">
        <v>11</v>
      </c>
      <c r="E193" s="83">
        <v>579937</v>
      </c>
      <c r="F193" s="12">
        <f t="shared" si="36"/>
        <v>271937</v>
      </c>
      <c r="G193" s="12">
        <f t="shared" si="36"/>
        <v>0</v>
      </c>
      <c r="H193" s="12">
        <v>308000</v>
      </c>
      <c r="I193" s="185"/>
      <c r="J193" s="199"/>
      <c r="K193" s="199"/>
      <c r="L193" s="199"/>
      <c r="M193" s="199"/>
      <c r="N193" s="94"/>
    </row>
    <row r="194" spans="1:14" ht="15" customHeight="1" outlineLevel="2" x14ac:dyDescent="0.25">
      <c r="A194" s="197"/>
      <c r="B194" s="196"/>
      <c r="C194" s="184" t="s">
        <v>257</v>
      </c>
      <c r="D194" s="93" t="s">
        <v>6</v>
      </c>
      <c r="E194" s="57">
        <v>579937</v>
      </c>
      <c r="F194" s="57">
        <f>SUM(F195:F196)</f>
        <v>0</v>
      </c>
      <c r="G194" s="57">
        <f>SUM(G195:G196)</f>
        <v>0</v>
      </c>
      <c r="H194" s="57">
        <f>SUM(H195:H196)</f>
        <v>0</v>
      </c>
      <c r="I194" s="185"/>
      <c r="J194" s="199"/>
      <c r="K194" s="199"/>
      <c r="L194" s="199"/>
      <c r="M194" s="199"/>
      <c r="N194" s="94"/>
    </row>
    <row r="195" spans="1:14" ht="15" customHeight="1" outlineLevel="2" x14ac:dyDescent="0.25">
      <c r="A195" s="197"/>
      <c r="B195" s="196"/>
      <c r="C195" s="185"/>
      <c r="D195" s="96" t="s">
        <v>10</v>
      </c>
      <c r="E195" s="83">
        <v>0</v>
      </c>
      <c r="F195" s="12">
        <v>0</v>
      </c>
      <c r="G195" s="12">
        <f>G204</f>
        <v>0</v>
      </c>
      <c r="H195" s="12">
        <f>H204</f>
        <v>0</v>
      </c>
      <c r="I195" s="185"/>
      <c r="J195" s="199"/>
      <c r="K195" s="199"/>
      <c r="L195" s="199"/>
      <c r="M195" s="199"/>
      <c r="N195" s="94"/>
    </row>
    <row r="196" spans="1:14" ht="15" customHeight="1" outlineLevel="2" x14ac:dyDescent="0.25">
      <c r="A196" s="197"/>
      <c r="B196" s="196"/>
      <c r="C196" s="186"/>
      <c r="D196" s="96" t="s">
        <v>11</v>
      </c>
      <c r="E196" s="83">
        <v>579937</v>
      </c>
      <c r="F196" s="12">
        <v>0</v>
      </c>
      <c r="G196" s="12">
        <f>G205</f>
        <v>0</v>
      </c>
      <c r="H196" s="12">
        <f>H205</f>
        <v>0</v>
      </c>
      <c r="I196" s="185"/>
      <c r="J196" s="199"/>
      <c r="K196" s="199"/>
      <c r="L196" s="199"/>
      <c r="M196" s="199"/>
      <c r="N196" s="94"/>
    </row>
    <row r="197" spans="1:14" ht="21" customHeight="1" outlineLevel="3" x14ac:dyDescent="0.25">
      <c r="A197" s="197" t="s">
        <v>129</v>
      </c>
      <c r="B197" s="196" t="s">
        <v>27</v>
      </c>
      <c r="C197" s="184"/>
      <c r="D197" s="93" t="s">
        <v>6</v>
      </c>
      <c r="E197" s="57">
        <f>SUM(F197:H197)</f>
        <v>271937</v>
      </c>
      <c r="F197" s="57">
        <f>SUM(F198:F199)</f>
        <v>271937</v>
      </c>
      <c r="G197" s="57">
        <f>SUM(G198:G199)</f>
        <v>0</v>
      </c>
      <c r="H197" s="57">
        <f>SUM(H198:H199)</f>
        <v>0</v>
      </c>
      <c r="I197" s="185"/>
      <c r="J197" s="199"/>
      <c r="K197" s="199"/>
      <c r="L197" s="199"/>
      <c r="M197" s="199"/>
      <c r="N197" s="94"/>
    </row>
    <row r="198" spans="1:14" ht="21" customHeight="1" outlineLevel="3" x14ac:dyDescent="0.25">
      <c r="A198" s="197"/>
      <c r="B198" s="196"/>
      <c r="C198" s="185"/>
      <c r="D198" s="96" t="s">
        <v>10</v>
      </c>
      <c r="E198" s="83">
        <f>SUM(F198:H198)</f>
        <v>0</v>
      </c>
      <c r="F198" s="12">
        <v>0</v>
      </c>
      <c r="G198" s="12">
        <v>0</v>
      </c>
      <c r="H198" s="12">
        <v>0</v>
      </c>
      <c r="I198" s="185"/>
      <c r="J198" s="199"/>
      <c r="K198" s="199"/>
      <c r="L198" s="199"/>
      <c r="M198" s="199"/>
      <c r="N198" s="94"/>
    </row>
    <row r="199" spans="1:14" ht="21" customHeight="1" outlineLevel="3" x14ac:dyDescent="0.25">
      <c r="A199" s="197"/>
      <c r="B199" s="196"/>
      <c r="C199" s="186"/>
      <c r="D199" s="96" t="s">
        <v>11</v>
      </c>
      <c r="E199" s="83">
        <f>SUM(F199:H199)</f>
        <v>271937</v>
      </c>
      <c r="F199" s="12">
        <v>271937</v>
      </c>
      <c r="G199" s="12">
        <v>0</v>
      </c>
      <c r="H199" s="12">
        <v>0</v>
      </c>
      <c r="I199" s="185"/>
      <c r="J199" s="199"/>
      <c r="K199" s="199"/>
      <c r="L199" s="199"/>
      <c r="M199" s="199"/>
      <c r="N199" s="94"/>
    </row>
    <row r="200" spans="1:14" ht="24" customHeight="1" outlineLevel="3" x14ac:dyDescent="0.25">
      <c r="A200" s="197"/>
      <c r="B200" s="196"/>
      <c r="C200" s="184" t="s">
        <v>256</v>
      </c>
      <c r="D200" s="93" t="s">
        <v>6</v>
      </c>
      <c r="E200" s="57">
        <f t="shared" ref="E200:E205" si="37">SUM(F200:H200)</f>
        <v>271937</v>
      </c>
      <c r="F200" s="57">
        <f>SUM(F201:F202)</f>
        <v>271937</v>
      </c>
      <c r="G200" s="57">
        <f>SUM(G201:G202)</f>
        <v>0</v>
      </c>
      <c r="H200" s="57">
        <f>SUM(H201:H202)</f>
        <v>0</v>
      </c>
      <c r="I200" s="185"/>
      <c r="J200" s="199"/>
      <c r="K200" s="199"/>
      <c r="L200" s="199"/>
      <c r="M200" s="199"/>
      <c r="N200" s="94"/>
    </row>
    <row r="201" spans="1:14" ht="24" customHeight="1" outlineLevel="3" x14ac:dyDescent="0.25">
      <c r="A201" s="197"/>
      <c r="B201" s="196"/>
      <c r="C201" s="185"/>
      <c r="D201" s="96" t="s">
        <v>10</v>
      </c>
      <c r="E201" s="83">
        <f t="shared" si="37"/>
        <v>0</v>
      </c>
      <c r="F201" s="12">
        <v>0</v>
      </c>
      <c r="G201" s="12">
        <v>0</v>
      </c>
      <c r="H201" s="12">
        <v>0</v>
      </c>
      <c r="I201" s="185"/>
      <c r="J201" s="199"/>
      <c r="K201" s="199"/>
      <c r="L201" s="199"/>
      <c r="M201" s="199"/>
      <c r="N201" s="94"/>
    </row>
    <row r="202" spans="1:14" ht="24" customHeight="1" outlineLevel="3" x14ac:dyDescent="0.25">
      <c r="A202" s="197"/>
      <c r="B202" s="196"/>
      <c r="C202" s="186"/>
      <c r="D202" s="96" t="s">
        <v>11</v>
      </c>
      <c r="E202" s="83">
        <f t="shared" si="37"/>
        <v>271937</v>
      </c>
      <c r="F202" s="12">
        <v>271937</v>
      </c>
      <c r="G202" s="12">
        <v>0</v>
      </c>
      <c r="H202" s="12">
        <v>0</v>
      </c>
      <c r="I202" s="185"/>
      <c r="J202" s="199"/>
      <c r="K202" s="199"/>
      <c r="L202" s="199"/>
      <c r="M202" s="199"/>
      <c r="N202" s="94"/>
    </row>
    <row r="203" spans="1:14" ht="15" customHeight="1" outlineLevel="3" x14ac:dyDescent="0.25">
      <c r="A203" s="197"/>
      <c r="B203" s="196"/>
      <c r="C203" s="184" t="s">
        <v>257</v>
      </c>
      <c r="D203" s="93" t="s">
        <v>6</v>
      </c>
      <c r="E203" s="57">
        <f t="shared" si="37"/>
        <v>0</v>
      </c>
      <c r="F203" s="83">
        <v>0</v>
      </c>
      <c r="G203" s="57">
        <f>SUM(G204:G205)</f>
        <v>0</v>
      </c>
      <c r="H203" s="57">
        <f>SUM(H204:H205)</f>
        <v>0</v>
      </c>
      <c r="I203" s="185"/>
      <c r="J203" s="199"/>
      <c r="K203" s="199"/>
      <c r="L203" s="199"/>
      <c r="M203" s="199"/>
      <c r="N203" s="94"/>
    </row>
    <row r="204" spans="1:14" ht="15" customHeight="1" outlineLevel="3" x14ac:dyDescent="0.25">
      <c r="A204" s="197"/>
      <c r="B204" s="196"/>
      <c r="C204" s="185"/>
      <c r="D204" s="96" t="s">
        <v>10</v>
      </c>
      <c r="E204" s="83">
        <f t="shared" si="37"/>
        <v>0</v>
      </c>
      <c r="F204" s="12">
        <v>0</v>
      </c>
      <c r="G204" s="12">
        <v>0</v>
      </c>
      <c r="H204" s="12">
        <v>0</v>
      </c>
      <c r="I204" s="185"/>
      <c r="J204" s="199"/>
      <c r="K204" s="199"/>
      <c r="L204" s="199"/>
      <c r="M204" s="199"/>
      <c r="N204" s="94"/>
    </row>
    <row r="205" spans="1:14" ht="15" customHeight="1" outlineLevel="3" x14ac:dyDescent="0.25">
      <c r="A205" s="197"/>
      <c r="B205" s="196"/>
      <c r="C205" s="186"/>
      <c r="D205" s="96" t="s">
        <v>11</v>
      </c>
      <c r="E205" s="83">
        <f t="shared" si="37"/>
        <v>0</v>
      </c>
      <c r="F205" s="12">
        <v>0</v>
      </c>
      <c r="G205" s="12">
        <v>0</v>
      </c>
      <c r="H205" s="12">
        <v>0</v>
      </c>
      <c r="I205" s="186"/>
      <c r="J205" s="200"/>
      <c r="K205" s="200"/>
      <c r="L205" s="200"/>
      <c r="M205" s="200"/>
      <c r="N205" s="94"/>
    </row>
    <row r="206" spans="1:14" s="95" customFormat="1" ht="15" customHeight="1" x14ac:dyDescent="0.2">
      <c r="A206" s="201" t="s">
        <v>255</v>
      </c>
      <c r="B206" s="213" t="s">
        <v>254</v>
      </c>
      <c r="C206" s="184"/>
      <c r="D206" s="93" t="s">
        <v>6</v>
      </c>
      <c r="E206" s="57">
        <f>SUM(F206:H206)</f>
        <v>55006067</v>
      </c>
      <c r="F206" s="57">
        <f>SUM(F207:F208)</f>
        <v>18846257</v>
      </c>
      <c r="G206" s="57">
        <f>SUM(G207:G208)</f>
        <v>9064430</v>
      </c>
      <c r="H206" s="57">
        <f>SUM(H207:H208)</f>
        <v>27095380</v>
      </c>
      <c r="I206" s="184" t="s">
        <v>100</v>
      </c>
      <c r="J206" s="198" t="s">
        <v>9</v>
      </c>
      <c r="K206" s="198" t="s">
        <v>101</v>
      </c>
      <c r="L206" s="198" t="s">
        <v>102</v>
      </c>
      <c r="M206" s="198" t="s">
        <v>102</v>
      </c>
      <c r="N206" s="94"/>
    </row>
    <row r="207" spans="1:14" s="95" customFormat="1" ht="15" customHeight="1" x14ac:dyDescent="0.2">
      <c r="A207" s="201"/>
      <c r="B207" s="213"/>
      <c r="C207" s="185"/>
      <c r="D207" s="96" t="s">
        <v>10</v>
      </c>
      <c r="E207" s="83">
        <f>SUM(F207:H207)</f>
        <v>1600000</v>
      </c>
      <c r="F207" s="12">
        <f t="shared" ref="F207:H208" si="38">F216</f>
        <v>0</v>
      </c>
      <c r="G207" s="12">
        <f t="shared" si="38"/>
        <v>1600000</v>
      </c>
      <c r="H207" s="12">
        <f t="shared" si="38"/>
        <v>0</v>
      </c>
      <c r="I207" s="185"/>
      <c r="J207" s="199"/>
      <c r="K207" s="199"/>
      <c r="L207" s="199"/>
      <c r="M207" s="199"/>
      <c r="N207" s="94"/>
    </row>
    <row r="208" spans="1:14" s="95" customFormat="1" ht="15" customHeight="1" x14ac:dyDescent="0.2">
      <c r="A208" s="201"/>
      <c r="B208" s="213"/>
      <c r="C208" s="186"/>
      <c r="D208" s="96" t="s">
        <v>11</v>
      </c>
      <c r="E208" s="83">
        <f>SUM(F208:H208)</f>
        <v>53406067</v>
      </c>
      <c r="F208" s="12">
        <f t="shared" si="38"/>
        <v>18846257</v>
      </c>
      <c r="G208" s="12">
        <f t="shared" si="38"/>
        <v>7464430</v>
      </c>
      <c r="H208" s="12">
        <f t="shared" si="38"/>
        <v>27095380</v>
      </c>
      <c r="I208" s="185"/>
      <c r="J208" s="199"/>
      <c r="K208" s="199"/>
      <c r="L208" s="199"/>
      <c r="M208" s="199"/>
      <c r="N208" s="94"/>
    </row>
    <row r="209" spans="1:14" s="95" customFormat="1" ht="24" customHeight="1" x14ac:dyDescent="0.2">
      <c r="A209" s="201"/>
      <c r="B209" s="213"/>
      <c r="C209" s="184" t="s">
        <v>256</v>
      </c>
      <c r="D209" s="93" t="s">
        <v>6</v>
      </c>
      <c r="E209" s="57">
        <f t="shared" ref="E209:E214" si="39">SUM(F209:H209)</f>
        <v>44127327</v>
      </c>
      <c r="F209" s="57">
        <f>SUM(F210:F211)</f>
        <v>18846257</v>
      </c>
      <c r="G209" s="57">
        <f>SUM(G210:G211)</f>
        <v>9064430</v>
      </c>
      <c r="H209" s="57">
        <f>SUM(H210:H211)</f>
        <v>16216640</v>
      </c>
      <c r="I209" s="185"/>
      <c r="J209" s="199"/>
      <c r="K209" s="199"/>
      <c r="L209" s="199"/>
      <c r="M209" s="199"/>
      <c r="N209" s="94"/>
    </row>
    <row r="210" spans="1:14" s="95" customFormat="1" ht="24" customHeight="1" x14ac:dyDescent="0.2">
      <c r="A210" s="201"/>
      <c r="B210" s="213"/>
      <c r="C210" s="185"/>
      <c r="D210" s="96" t="s">
        <v>10</v>
      </c>
      <c r="E210" s="83">
        <f t="shared" si="39"/>
        <v>1600000</v>
      </c>
      <c r="F210" s="12">
        <f t="shared" ref="F210:H211" si="40">F219</f>
        <v>0</v>
      </c>
      <c r="G210" s="12">
        <f t="shared" si="40"/>
        <v>1600000</v>
      </c>
      <c r="H210" s="12">
        <f t="shared" si="40"/>
        <v>0</v>
      </c>
      <c r="I210" s="185"/>
      <c r="J210" s="199"/>
      <c r="K210" s="199"/>
      <c r="L210" s="199"/>
      <c r="M210" s="199"/>
      <c r="N210" s="94"/>
    </row>
    <row r="211" spans="1:14" s="95" customFormat="1" ht="24" customHeight="1" x14ac:dyDescent="0.2">
      <c r="A211" s="201"/>
      <c r="B211" s="213"/>
      <c r="C211" s="186"/>
      <c r="D211" s="96" t="s">
        <v>11</v>
      </c>
      <c r="E211" s="83">
        <f t="shared" si="39"/>
        <v>42527327</v>
      </c>
      <c r="F211" s="12">
        <f t="shared" si="40"/>
        <v>18846257</v>
      </c>
      <c r="G211" s="12">
        <f t="shared" si="40"/>
        <v>7464430</v>
      </c>
      <c r="H211" s="12">
        <f t="shared" si="40"/>
        <v>16216640</v>
      </c>
      <c r="I211" s="185"/>
      <c r="J211" s="199"/>
      <c r="K211" s="199"/>
      <c r="L211" s="199"/>
      <c r="M211" s="199"/>
      <c r="N211" s="94"/>
    </row>
    <row r="212" spans="1:14" s="95" customFormat="1" ht="15" customHeight="1" x14ac:dyDescent="0.2">
      <c r="A212" s="201"/>
      <c r="B212" s="213"/>
      <c r="C212" s="184" t="s">
        <v>257</v>
      </c>
      <c r="D212" s="93" t="s">
        <v>6</v>
      </c>
      <c r="E212" s="57">
        <f t="shared" si="39"/>
        <v>10878740</v>
      </c>
      <c r="F212" s="83">
        <v>0</v>
      </c>
      <c r="G212" s="57">
        <f>SUM(G213:G214)</f>
        <v>0</v>
      </c>
      <c r="H212" s="57">
        <f>SUM(H213:H214)</f>
        <v>10878740</v>
      </c>
      <c r="I212" s="185"/>
      <c r="J212" s="199"/>
      <c r="K212" s="199"/>
      <c r="L212" s="199"/>
      <c r="M212" s="199"/>
      <c r="N212" s="94"/>
    </row>
    <row r="213" spans="1:14" s="95" customFormat="1" ht="15" customHeight="1" x14ac:dyDescent="0.2">
      <c r="A213" s="201"/>
      <c r="B213" s="213"/>
      <c r="C213" s="185"/>
      <c r="D213" s="96" t="s">
        <v>10</v>
      </c>
      <c r="E213" s="83">
        <f t="shared" si="39"/>
        <v>0</v>
      </c>
      <c r="F213" s="12">
        <f t="shared" ref="F213:H214" si="41">F222</f>
        <v>0</v>
      </c>
      <c r="G213" s="12">
        <f t="shared" si="41"/>
        <v>0</v>
      </c>
      <c r="H213" s="12">
        <f t="shared" si="41"/>
        <v>0</v>
      </c>
      <c r="I213" s="185"/>
      <c r="J213" s="199"/>
      <c r="K213" s="199"/>
      <c r="L213" s="199"/>
      <c r="M213" s="199"/>
      <c r="N213" s="94"/>
    </row>
    <row r="214" spans="1:14" s="95" customFormat="1" ht="15" customHeight="1" x14ac:dyDescent="0.2">
      <c r="A214" s="201"/>
      <c r="B214" s="213"/>
      <c r="C214" s="186"/>
      <c r="D214" s="96" t="s">
        <v>11</v>
      </c>
      <c r="E214" s="83">
        <f t="shared" si="39"/>
        <v>10878740</v>
      </c>
      <c r="F214" s="12">
        <f t="shared" si="41"/>
        <v>0</v>
      </c>
      <c r="G214" s="12">
        <f t="shared" si="41"/>
        <v>0</v>
      </c>
      <c r="H214" s="12">
        <f t="shared" si="41"/>
        <v>10878740</v>
      </c>
      <c r="I214" s="186"/>
      <c r="J214" s="200"/>
      <c r="K214" s="200"/>
      <c r="L214" s="200"/>
      <c r="M214" s="200"/>
      <c r="N214" s="94"/>
    </row>
    <row r="215" spans="1:14" s="95" customFormat="1" ht="15" customHeight="1" outlineLevel="1" x14ac:dyDescent="0.2">
      <c r="A215" s="201" t="s">
        <v>107</v>
      </c>
      <c r="B215" s="213" t="s">
        <v>32</v>
      </c>
      <c r="C215" s="184"/>
      <c r="D215" s="93" t="s">
        <v>6</v>
      </c>
      <c r="E215" s="57">
        <f>SUM(F215:H215)</f>
        <v>55006067</v>
      </c>
      <c r="F215" s="57">
        <f>SUM(F216:F217)</f>
        <v>18846257</v>
      </c>
      <c r="G215" s="57">
        <f>SUM(G216:G217)</f>
        <v>9064430</v>
      </c>
      <c r="H215" s="57">
        <f>SUM(H216:H217)</f>
        <v>27095380</v>
      </c>
      <c r="I215" s="184" t="s">
        <v>100</v>
      </c>
      <c r="J215" s="198" t="s">
        <v>9</v>
      </c>
      <c r="K215" s="198" t="s">
        <v>101</v>
      </c>
      <c r="L215" s="198" t="s">
        <v>102</v>
      </c>
      <c r="M215" s="198" t="s">
        <v>102</v>
      </c>
      <c r="N215" s="94"/>
    </row>
    <row r="216" spans="1:14" s="95" customFormat="1" ht="15" customHeight="1" outlineLevel="1" x14ac:dyDescent="0.2">
      <c r="A216" s="201"/>
      <c r="B216" s="213"/>
      <c r="C216" s="185"/>
      <c r="D216" s="92" t="s">
        <v>10</v>
      </c>
      <c r="E216" s="57">
        <f>SUM(F216:H216)</f>
        <v>1600000</v>
      </c>
      <c r="F216" s="88">
        <f t="shared" ref="F216:H217" si="42">F225+F234+F243+F252+F261+F270+F279+F288+F297+F306+F315+F324+F333+F342+F351+F360+F369</f>
        <v>0</v>
      </c>
      <c r="G216" s="88">
        <f t="shared" si="42"/>
        <v>1600000</v>
      </c>
      <c r="H216" s="88">
        <f t="shared" si="42"/>
        <v>0</v>
      </c>
      <c r="I216" s="185"/>
      <c r="J216" s="199"/>
      <c r="K216" s="199"/>
      <c r="L216" s="199"/>
      <c r="M216" s="199"/>
      <c r="N216" s="94"/>
    </row>
    <row r="217" spans="1:14" s="95" customFormat="1" ht="15" customHeight="1" outlineLevel="1" x14ac:dyDescent="0.2">
      <c r="A217" s="201"/>
      <c r="B217" s="213"/>
      <c r="C217" s="186"/>
      <c r="D217" s="92" t="s">
        <v>11</v>
      </c>
      <c r="E217" s="57">
        <f>SUM(F217:H217)</f>
        <v>53406067</v>
      </c>
      <c r="F217" s="88">
        <f t="shared" si="42"/>
        <v>18846257</v>
      </c>
      <c r="G217" s="88">
        <f t="shared" si="42"/>
        <v>7464430</v>
      </c>
      <c r="H217" s="88">
        <f t="shared" si="42"/>
        <v>27095380</v>
      </c>
      <c r="I217" s="185"/>
      <c r="J217" s="199"/>
      <c r="K217" s="199"/>
      <c r="L217" s="199"/>
      <c r="M217" s="199"/>
      <c r="N217" s="94"/>
    </row>
    <row r="218" spans="1:14" s="95" customFormat="1" ht="24" customHeight="1" outlineLevel="1" x14ac:dyDescent="0.2">
      <c r="A218" s="201"/>
      <c r="B218" s="213"/>
      <c r="C218" s="184" t="s">
        <v>256</v>
      </c>
      <c r="D218" s="93" t="s">
        <v>6</v>
      </c>
      <c r="E218" s="57">
        <f t="shared" ref="E218:E223" si="43">SUM(F218:H218)</f>
        <v>44127327</v>
      </c>
      <c r="F218" s="57">
        <f>SUM(F219:F220)</f>
        <v>18846257</v>
      </c>
      <c r="G218" s="57">
        <f>SUM(G219:G220)</f>
        <v>9064430</v>
      </c>
      <c r="H218" s="57">
        <f>SUM(H219:H220)</f>
        <v>16216640</v>
      </c>
      <c r="I218" s="185"/>
      <c r="J218" s="199"/>
      <c r="K218" s="199"/>
      <c r="L218" s="199"/>
      <c r="M218" s="199"/>
      <c r="N218" s="94"/>
    </row>
    <row r="219" spans="1:14" s="95" customFormat="1" ht="24" customHeight="1" outlineLevel="1" x14ac:dyDescent="0.2">
      <c r="A219" s="201"/>
      <c r="B219" s="213"/>
      <c r="C219" s="185"/>
      <c r="D219" s="92" t="s">
        <v>10</v>
      </c>
      <c r="E219" s="57">
        <f t="shared" si="43"/>
        <v>1600000</v>
      </c>
      <c r="F219" s="88">
        <f t="shared" ref="F219:H220" si="44">F228+F237+F246+F255+F264+F273+F282+F291+F300+F309+F318+F327+F336+F345+F354+F363+F372</f>
        <v>0</v>
      </c>
      <c r="G219" s="88">
        <f t="shared" si="44"/>
        <v>1600000</v>
      </c>
      <c r="H219" s="88">
        <f t="shared" si="44"/>
        <v>0</v>
      </c>
      <c r="I219" s="185"/>
      <c r="J219" s="199"/>
      <c r="K219" s="199"/>
      <c r="L219" s="199"/>
      <c r="M219" s="199"/>
      <c r="N219" s="94"/>
    </row>
    <row r="220" spans="1:14" s="95" customFormat="1" ht="24" customHeight="1" outlineLevel="1" x14ac:dyDescent="0.2">
      <c r="A220" s="201"/>
      <c r="B220" s="213"/>
      <c r="C220" s="186"/>
      <c r="D220" s="92" t="s">
        <v>11</v>
      </c>
      <c r="E220" s="57">
        <f t="shared" si="43"/>
        <v>42527327</v>
      </c>
      <c r="F220" s="88">
        <f t="shared" si="44"/>
        <v>18846257</v>
      </c>
      <c r="G220" s="88">
        <f t="shared" si="44"/>
        <v>7464430</v>
      </c>
      <c r="H220" s="88">
        <f t="shared" si="44"/>
        <v>16216640</v>
      </c>
      <c r="I220" s="185"/>
      <c r="J220" s="199"/>
      <c r="K220" s="199"/>
      <c r="L220" s="199"/>
      <c r="M220" s="199"/>
      <c r="N220" s="94"/>
    </row>
    <row r="221" spans="1:14" s="95" customFormat="1" ht="15" customHeight="1" outlineLevel="1" x14ac:dyDescent="0.2">
      <c r="A221" s="201"/>
      <c r="B221" s="213"/>
      <c r="C221" s="184" t="s">
        <v>257</v>
      </c>
      <c r="D221" s="93" t="s">
        <v>6</v>
      </c>
      <c r="E221" s="57">
        <f t="shared" si="43"/>
        <v>10878740</v>
      </c>
      <c r="F221" s="57">
        <f>SUM(F222:F223)</f>
        <v>0</v>
      </c>
      <c r="G221" s="57">
        <f>SUM(G222:G223)</f>
        <v>0</v>
      </c>
      <c r="H221" s="57">
        <f>SUM(H222:H223)</f>
        <v>10878740</v>
      </c>
      <c r="I221" s="185"/>
      <c r="J221" s="199"/>
      <c r="K221" s="199"/>
      <c r="L221" s="199"/>
      <c r="M221" s="199"/>
      <c r="N221" s="94"/>
    </row>
    <row r="222" spans="1:14" s="95" customFormat="1" ht="15" customHeight="1" outlineLevel="1" x14ac:dyDescent="0.2">
      <c r="A222" s="201"/>
      <c r="B222" s="213"/>
      <c r="C222" s="185"/>
      <c r="D222" s="92" t="s">
        <v>10</v>
      </c>
      <c r="E222" s="57">
        <f t="shared" si="43"/>
        <v>0</v>
      </c>
      <c r="F222" s="88">
        <f t="shared" ref="F222:H223" si="45">F231+F240+F249+F258+F267+F276+F285+F294+F303+F312+F321+F330+F339+F348+F357+F366+F375</f>
        <v>0</v>
      </c>
      <c r="G222" s="88">
        <f t="shared" si="45"/>
        <v>0</v>
      </c>
      <c r="H222" s="88">
        <f t="shared" si="45"/>
        <v>0</v>
      </c>
      <c r="I222" s="185"/>
      <c r="J222" s="199"/>
      <c r="K222" s="199"/>
      <c r="L222" s="199"/>
      <c r="M222" s="199"/>
      <c r="N222" s="94"/>
    </row>
    <row r="223" spans="1:14" s="95" customFormat="1" ht="15" customHeight="1" outlineLevel="1" x14ac:dyDescent="0.2">
      <c r="A223" s="201"/>
      <c r="B223" s="213"/>
      <c r="C223" s="186"/>
      <c r="D223" s="92" t="s">
        <v>11</v>
      </c>
      <c r="E223" s="57">
        <f t="shared" si="43"/>
        <v>10878740</v>
      </c>
      <c r="F223" s="88">
        <f t="shared" si="45"/>
        <v>0</v>
      </c>
      <c r="G223" s="88">
        <f t="shared" si="45"/>
        <v>0</v>
      </c>
      <c r="H223" s="88">
        <f t="shared" si="45"/>
        <v>10878740</v>
      </c>
      <c r="I223" s="186"/>
      <c r="J223" s="200"/>
      <c r="K223" s="200"/>
      <c r="L223" s="200"/>
      <c r="M223" s="200"/>
      <c r="N223" s="94"/>
    </row>
    <row r="224" spans="1:14" ht="21" customHeight="1" outlineLevel="2" x14ac:dyDescent="0.25">
      <c r="A224" s="197" t="s">
        <v>108</v>
      </c>
      <c r="B224" s="196" t="s">
        <v>67</v>
      </c>
      <c r="C224" s="184"/>
      <c r="D224" s="93" t="s">
        <v>6</v>
      </c>
      <c r="E224" s="57">
        <f>SUM(F224:H224)</f>
        <v>4057079.41</v>
      </c>
      <c r="F224" s="57">
        <f>SUM(F225:F226)</f>
        <v>45000</v>
      </c>
      <c r="G224" s="57">
        <f>SUM(G225:G226)</f>
        <v>304420.49</v>
      </c>
      <c r="H224" s="57">
        <f>SUM(H225:H226)</f>
        <v>3707658.92</v>
      </c>
      <c r="I224" s="184" t="s">
        <v>82</v>
      </c>
      <c r="J224" s="198" t="s">
        <v>9</v>
      </c>
      <c r="K224" s="198">
        <v>5</v>
      </c>
      <c r="L224" s="198">
        <v>10</v>
      </c>
      <c r="M224" s="198">
        <v>30.8</v>
      </c>
      <c r="N224" s="94">
        <f>H224-'Апрель)'!H82</f>
        <v>2315520</v>
      </c>
    </row>
    <row r="225" spans="1:14" ht="21" customHeight="1" outlineLevel="2" x14ac:dyDescent="0.25">
      <c r="A225" s="197"/>
      <c r="B225" s="196"/>
      <c r="C225" s="185"/>
      <c r="D225" s="96" t="s">
        <v>10</v>
      </c>
      <c r="E225" s="83">
        <f>SUM(F225:H225)</f>
        <v>0</v>
      </c>
      <c r="F225" s="12">
        <v>0</v>
      </c>
      <c r="G225" s="12">
        <v>0</v>
      </c>
      <c r="H225" s="12">
        <v>0</v>
      </c>
      <c r="I225" s="185"/>
      <c r="J225" s="199"/>
      <c r="K225" s="199"/>
      <c r="L225" s="199"/>
      <c r="M225" s="199"/>
      <c r="N225" s="94"/>
    </row>
    <row r="226" spans="1:14" ht="21" customHeight="1" outlineLevel="2" x14ac:dyDescent="0.25">
      <c r="A226" s="197"/>
      <c r="B226" s="196"/>
      <c r="C226" s="186"/>
      <c r="D226" s="96" t="s">
        <v>11</v>
      </c>
      <c r="E226" s="83">
        <f>SUM(F226:H226)</f>
        <v>4057079.41</v>
      </c>
      <c r="F226" s="12">
        <v>45000</v>
      </c>
      <c r="G226" s="12">
        <f>304430-9.51</f>
        <v>304420.49</v>
      </c>
      <c r="H226" s="12">
        <v>3707658.92</v>
      </c>
      <c r="I226" s="185"/>
      <c r="J226" s="199"/>
      <c r="K226" s="199"/>
      <c r="L226" s="199"/>
      <c r="M226" s="199"/>
      <c r="N226" s="94"/>
    </row>
    <row r="227" spans="1:14" ht="24" customHeight="1" outlineLevel="2" x14ac:dyDescent="0.25">
      <c r="A227" s="197"/>
      <c r="B227" s="196"/>
      <c r="C227" s="184" t="s">
        <v>256</v>
      </c>
      <c r="D227" s="93" t="s">
        <v>6</v>
      </c>
      <c r="E227" s="57">
        <f t="shared" ref="E227:E232" si="46">SUM(F227:H227)</f>
        <v>695050.49</v>
      </c>
      <c r="F227" s="57">
        <f>SUM(F228:F229)</f>
        <v>45000</v>
      </c>
      <c r="G227" s="57">
        <f>SUM(G228:G229)</f>
        <v>304420.49</v>
      </c>
      <c r="H227" s="57">
        <f>SUM(H228:H229)</f>
        <v>345630</v>
      </c>
      <c r="I227" s="185"/>
      <c r="J227" s="199"/>
      <c r="K227" s="199"/>
      <c r="L227" s="199"/>
      <c r="M227" s="199"/>
      <c r="N227" s="94"/>
    </row>
    <row r="228" spans="1:14" ht="24" customHeight="1" outlineLevel="2" x14ac:dyDescent="0.25">
      <c r="A228" s="197"/>
      <c r="B228" s="196"/>
      <c r="C228" s="185"/>
      <c r="D228" s="96" t="s">
        <v>10</v>
      </c>
      <c r="E228" s="83">
        <f t="shared" si="46"/>
        <v>0</v>
      </c>
      <c r="F228" s="12">
        <v>0</v>
      </c>
      <c r="G228" s="12">
        <v>0</v>
      </c>
      <c r="H228" s="12">
        <v>0</v>
      </c>
      <c r="I228" s="185"/>
      <c r="J228" s="199"/>
      <c r="K228" s="199"/>
      <c r="L228" s="199"/>
      <c r="M228" s="199"/>
      <c r="N228" s="94"/>
    </row>
    <row r="229" spans="1:14" ht="24" customHeight="1" outlineLevel="2" x14ac:dyDescent="0.25">
      <c r="A229" s="197"/>
      <c r="B229" s="196"/>
      <c r="C229" s="186"/>
      <c r="D229" s="96" t="s">
        <v>11</v>
      </c>
      <c r="E229" s="83">
        <f t="shared" si="46"/>
        <v>695050.49</v>
      </c>
      <c r="F229" s="12">
        <v>45000</v>
      </c>
      <c r="G229" s="12">
        <f>304430-9.51</f>
        <v>304420.49</v>
      </c>
      <c r="H229" s="12">
        <v>345630</v>
      </c>
      <c r="I229" s="185"/>
      <c r="J229" s="199"/>
      <c r="K229" s="199"/>
      <c r="L229" s="199"/>
      <c r="M229" s="199"/>
      <c r="N229" s="94"/>
    </row>
    <row r="230" spans="1:14" ht="15" customHeight="1" outlineLevel="2" x14ac:dyDescent="0.25">
      <c r="A230" s="197"/>
      <c r="B230" s="196"/>
      <c r="C230" s="184" t="s">
        <v>257</v>
      </c>
      <c r="D230" s="93" t="s">
        <v>6</v>
      </c>
      <c r="E230" s="57">
        <f t="shared" si="46"/>
        <v>3362028.92</v>
      </c>
      <c r="F230" s="57">
        <f>SUM(F231:F232)</f>
        <v>0</v>
      </c>
      <c r="G230" s="57">
        <f>SUM(G231:G232)</f>
        <v>0</v>
      </c>
      <c r="H230" s="57">
        <f>SUM(H231:H232)</f>
        <v>3362028.92</v>
      </c>
      <c r="I230" s="185"/>
      <c r="J230" s="199"/>
      <c r="K230" s="199"/>
      <c r="L230" s="199"/>
      <c r="M230" s="199"/>
      <c r="N230" s="94"/>
    </row>
    <row r="231" spans="1:14" ht="15" customHeight="1" outlineLevel="2" x14ac:dyDescent="0.25">
      <c r="A231" s="197"/>
      <c r="B231" s="196"/>
      <c r="C231" s="185"/>
      <c r="D231" s="96" t="s">
        <v>10</v>
      </c>
      <c r="E231" s="83">
        <f t="shared" si="46"/>
        <v>0</v>
      </c>
      <c r="F231" s="12">
        <v>0</v>
      </c>
      <c r="G231" s="12">
        <v>0</v>
      </c>
      <c r="H231" s="12">
        <v>0</v>
      </c>
      <c r="I231" s="185"/>
      <c r="J231" s="199"/>
      <c r="K231" s="199"/>
      <c r="L231" s="199"/>
      <c r="M231" s="199"/>
      <c r="N231" s="94"/>
    </row>
    <row r="232" spans="1:14" ht="15" customHeight="1" outlineLevel="2" x14ac:dyDescent="0.25">
      <c r="A232" s="197"/>
      <c r="B232" s="196"/>
      <c r="C232" s="186"/>
      <c r="D232" s="96" t="s">
        <v>11</v>
      </c>
      <c r="E232" s="83">
        <f t="shared" si="46"/>
        <v>3362028.92</v>
      </c>
      <c r="F232" s="12">
        <v>0</v>
      </c>
      <c r="G232" s="12">
        <v>0</v>
      </c>
      <c r="H232" s="12">
        <f>3707658.92-H229</f>
        <v>3362028.92</v>
      </c>
      <c r="I232" s="186"/>
      <c r="J232" s="200"/>
      <c r="K232" s="200"/>
      <c r="L232" s="200"/>
      <c r="M232" s="200"/>
      <c r="N232" s="94"/>
    </row>
    <row r="233" spans="1:14" ht="21" customHeight="1" outlineLevel="2" x14ac:dyDescent="0.25">
      <c r="A233" s="197" t="s">
        <v>109</v>
      </c>
      <c r="B233" s="196" t="s">
        <v>68</v>
      </c>
      <c r="C233" s="184"/>
      <c r="D233" s="93" t="s">
        <v>6</v>
      </c>
      <c r="E233" s="57">
        <f>SUM(F233:H233)</f>
        <v>2684090.86</v>
      </c>
      <c r="F233" s="57">
        <f>SUM(F234:F235)</f>
        <v>1276987</v>
      </c>
      <c r="G233" s="57">
        <f>SUM(G234:G235)</f>
        <v>1407103.8599999999</v>
      </c>
      <c r="H233" s="57">
        <f>SUM(H234:H235)</f>
        <v>0</v>
      </c>
      <c r="I233" s="184" t="s">
        <v>79</v>
      </c>
      <c r="J233" s="198" t="s">
        <v>9</v>
      </c>
      <c r="K233" s="198">
        <v>95</v>
      </c>
      <c r="L233" s="198">
        <v>98</v>
      </c>
      <c r="M233" s="198">
        <v>98</v>
      </c>
      <c r="N233" s="94">
        <f>H233-'Апрель)'!H85</f>
        <v>0</v>
      </c>
    </row>
    <row r="234" spans="1:14" ht="21" customHeight="1" outlineLevel="2" x14ac:dyDescent="0.25">
      <c r="A234" s="197"/>
      <c r="B234" s="196"/>
      <c r="C234" s="185"/>
      <c r="D234" s="96" t="s">
        <v>10</v>
      </c>
      <c r="E234" s="83">
        <f>SUM(F234:H234)</f>
        <v>711000</v>
      </c>
      <c r="F234" s="12">
        <v>0</v>
      </c>
      <c r="G234" s="12">
        <f>0+711000</f>
        <v>711000</v>
      </c>
      <c r="H234" s="12">
        <v>0</v>
      </c>
      <c r="I234" s="185"/>
      <c r="J234" s="199"/>
      <c r="K234" s="199"/>
      <c r="L234" s="199"/>
      <c r="M234" s="199"/>
      <c r="N234" s="94"/>
    </row>
    <row r="235" spans="1:14" ht="21" customHeight="1" outlineLevel="2" x14ac:dyDescent="0.25">
      <c r="A235" s="197"/>
      <c r="B235" s="196"/>
      <c r="C235" s="186"/>
      <c r="D235" s="96" t="s">
        <v>11</v>
      </c>
      <c r="E235" s="83">
        <f>SUM(F235:H235)</f>
        <v>1973090.8599999999</v>
      </c>
      <c r="F235" s="12">
        <v>1276987</v>
      </c>
      <c r="G235" s="12">
        <f>1416620-9500-711000-16.14</f>
        <v>696103.86</v>
      </c>
      <c r="H235" s="12">
        <v>0</v>
      </c>
      <c r="I235" s="185"/>
      <c r="J235" s="199"/>
      <c r="K235" s="199"/>
      <c r="L235" s="199"/>
      <c r="M235" s="199"/>
      <c r="N235" s="94"/>
    </row>
    <row r="236" spans="1:14" ht="24" customHeight="1" outlineLevel="2" x14ac:dyDescent="0.25">
      <c r="A236" s="197"/>
      <c r="B236" s="196"/>
      <c r="C236" s="184" t="s">
        <v>256</v>
      </c>
      <c r="D236" s="93" t="s">
        <v>6</v>
      </c>
      <c r="E236" s="57">
        <f t="shared" ref="E236:E241" si="47">SUM(F236:H236)</f>
        <v>2684090.86</v>
      </c>
      <c r="F236" s="57">
        <f>SUM(F237:F238)</f>
        <v>1276987</v>
      </c>
      <c r="G236" s="57">
        <f>SUM(G237:G238)</f>
        <v>1407103.8599999999</v>
      </c>
      <c r="H236" s="57">
        <f>SUM(H237:H238)</f>
        <v>0</v>
      </c>
      <c r="I236" s="185"/>
      <c r="J236" s="199"/>
      <c r="K236" s="199"/>
      <c r="L236" s="199"/>
      <c r="M236" s="199"/>
      <c r="N236" s="94"/>
    </row>
    <row r="237" spans="1:14" ht="24" customHeight="1" outlineLevel="2" x14ac:dyDescent="0.25">
      <c r="A237" s="197"/>
      <c r="B237" s="196"/>
      <c r="C237" s="185"/>
      <c r="D237" s="96" t="s">
        <v>10</v>
      </c>
      <c r="E237" s="83">
        <f t="shared" si="47"/>
        <v>711000</v>
      </c>
      <c r="F237" s="12">
        <v>0</v>
      </c>
      <c r="G237" s="12">
        <f>0+711000</f>
        <v>711000</v>
      </c>
      <c r="H237" s="12">
        <v>0</v>
      </c>
      <c r="I237" s="185"/>
      <c r="J237" s="199"/>
      <c r="K237" s="199"/>
      <c r="L237" s="199"/>
      <c r="M237" s="199"/>
      <c r="N237" s="94"/>
    </row>
    <row r="238" spans="1:14" ht="24" customHeight="1" outlineLevel="2" x14ac:dyDescent="0.25">
      <c r="A238" s="197"/>
      <c r="B238" s="196"/>
      <c r="C238" s="186"/>
      <c r="D238" s="96" t="s">
        <v>11</v>
      </c>
      <c r="E238" s="83">
        <f t="shared" si="47"/>
        <v>1973090.8599999999</v>
      </c>
      <c r="F238" s="12">
        <v>1276987</v>
      </c>
      <c r="G238" s="12">
        <f>1416620-9500-711000-16.14</f>
        <v>696103.86</v>
      </c>
      <c r="H238" s="12">
        <v>0</v>
      </c>
      <c r="I238" s="185"/>
      <c r="J238" s="199"/>
      <c r="K238" s="199"/>
      <c r="L238" s="199"/>
      <c r="M238" s="199"/>
      <c r="N238" s="94"/>
    </row>
    <row r="239" spans="1:14" ht="15" customHeight="1" outlineLevel="2" x14ac:dyDescent="0.25">
      <c r="A239" s="197"/>
      <c r="B239" s="196"/>
      <c r="C239" s="184" t="s">
        <v>257</v>
      </c>
      <c r="D239" s="93" t="s">
        <v>6</v>
      </c>
      <c r="E239" s="57">
        <f t="shared" si="47"/>
        <v>0</v>
      </c>
      <c r="F239" s="57">
        <f>SUM(F240:F241)</f>
        <v>0</v>
      </c>
      <c r="G239" s="57">
        <f>SUM(G240:G241)</f>
        <v>0</v>
      </c>
      <c r="H239" s="57">
        <f>SUM(H240:H241)</f>
        <v>0</v>
      </c>
      <c r="I239" s="185"/>
      <c r="J239" s="199"/>
      <c r="K239" s="199"/>
      <c r="L239" s="199"/>
      <c r="M239" s="199"/>
      <c r="N239" s="94"/>
    </row>
    <row r="240" spans="1:14" ht="15" customHeight="1" outlineLevel="2" x14ac:dyDescent="0.25">
      <c r="A240" s="197"/>
      <c r="B240" s="196"/>
      <c r="C240" s="185"/>
      <c r="D240" s="96" t="s">
        <v>10</v>
      </c>
      <c r="E240" s="83">
        <f t="shared" si="47"/>
        <v>0</v>
      </c>
      <c r="F240" s="12">
        <v>0</v>
      </c>
      <c r="G240" s="12">
        <v>0</v>
      </c>
      <c r="H240" s="12">
        <v>0</v>
      </c>
      <c r="I240" s="185"/>
      <c r="J240" s="199"/>
      <c r="K240" s="199"/>
      <c r="L240" s="199"/>
      <c r="M240" s="199"/>
      <c r="N240" s="94"/>
    </row>
    <row r="241" spans="1:14" ht="15" customHeight="1" outlineLevel="2" x14ac:dyDescent="0.25">
      <c r="A241" s="197"/>
      <c r="B241" s="196"/>
      <c r="C241" s="186"/>
      <c r="D241" s="96" t="s">
        <v>11</v>
      </c>
      <c r="E241" s="83">
        <f t="shared" si="47"/>
        <v>0</v>
      </c>
      <c r="F241" s="12">
        <v>0</v>
      </c>
      <c r="G241" s="12">
        <v>0</v>
      </c>
      <c r="H241" s="12">
        <v>0</v>
      </c>
      <c r="I241" s="186"/>
      <c r="J241" s="200"/>
      <c r="K241" s="200"/>
      <c r="L241" s="200"/>
      <c r="M241" s="200"/>
      <c r="N241" s="94"/>
    </row>
    <row r="242" spans="1:14" ht="21" customHeight="1" outlineLevel="2" x14ac:dyDescent="0.25">
      <c r="A242" s="197" t="s">
        <v>110</v>
      </c>
      <c r="B242" s="196" t="s">
        <v>33</v>
      </c>
      <c r="C242" s="184"/>
      <c r="D242" s="93" t="s">
        <v>6</v>
      </c>
      <c r="E242" s="57">
        <f>SUM(F242:H242)</f>
        <v>797348</v>
      </c>
      <c r="F242" s="57">
        <f>SUM(F243:F244)</f>
        <v>245550</v>
      </c>
      <c r="G242" s="57">
        <f>SUM(G243:G244)</f>
        <v>0</v>
      </c>
      <c r="H242" s="57">
        <f>SUM(H243:H244)</f>
        <v>551798</v>
      </c>
      <c r="I242" s="184" t="s">
        <v>80</v>
      </c>
      <c r="J242" s="198" t="s">
        <v>9</v>
      </c>
      <c r="K242" s="198">
        <v>85</v>
      </c>
      <c r="L242" s="198">
        <v>85</v>
      </c>
      <c r="M242" s="198">
        <v>89</v>
      </c>
      <c r="N242" s="94">
        <f>H242-'Апрель)'!H88</f>
        <v>150000</v>
      </c>
    </row>
    <row r="243" spans="1:14" ht="21" customHeight="1" outlineLevel="2" x14ac:dyDescent="0.25">
      <c r="A243" s="197"/>
      <c r="B243" s="196"/>
      <c r="C243" s="185"/>
      <c r="D243" s="96" t="s">
        <v>10</v>
      </c>
      <c r="E243" s="83">
        <f>SUM(F243:H243)</f>
        <v>0</v>
      </c>
      <c r="F243" s="12">
        <v>0</v>
      </c>
      <c r="G243" s="12">
        <v>0</v>
      </c>
      <c r="H243" s="12">
        <v>0</v>
      </c>
      <c r="I243" s="185"/>
      <c r="J243" s="199"/>
      <c r="K243" s="199"/>
      <c r="L243" s="199"/>
      <c r="M243" s="199"/>
      <c r="N243" s="94"/>
    </row>
    <row r="244" spans="1:14" ht="21" customHeight="1" outlineLevel="2" x14ac:dyDescent="0.25">
      <c r="A244" s="197"/>
      <c r="B244" s="196"/>
      <c r="C244" s="186"/>
      <c r="D244" s="96" t="s">
        <v>11</v>
      </c>
      <c r="E244" s="83">
        <f>SUM(F244:H244)</f>
        <v>797348</v>
      </c>
      <c r="F244" s="12">
        <v>245550</v>
      </c>
      <c r="G244" s="12">
        <v>0</v>
      </c>
      <c r="H244" s="12">
        <v>551798</v>
      </c>
      <c r="I244" s="185"/>
      <c r="J244" s="199"/>
      <c r="K244" s="199"/>
      <c r="L244" s="199"/>
      <c r="M244" s="199"/>
      <c r="N244" s="94"/>
    </row>
    <row r="245" spans="1:14" ht="24" customHeight="1" outlineLevel="2" x14ac:dyDescent="0.25">
      <c r="A245" s="197"/>
      <c r="B245" s="196"/>
      <c r="C245" s="184" t="s">
        <v>256</v>
      </c>
      <c r="D245" s="93" t="s">
        <v>6</v>
      </c>
      <c r="E245" s="57">
        <f t="shared" ref="E245:E250" si="48">SUM(F245:H245)</f>
        <v>698620</v>
      </c>
      <c r="F245" s="57">
        <f>SUM(F246:F247)</f>
        <v>245550</v>
      </c>
      <c r="G245" s="57">
        <f>SUM(G246:G247)</f>
        <v>0</v>
      </c>
      <c r="H245" s="57">
        <f>SUM(H246:H247)</f>
        <v>453070</v>
      </c>
      <c r="I245" s="185"/>
      <c r="J245" s="199"/>
      <c r="K245" s="199"/>
      <c r="L245" s="199"/>
      <c r="M245" s="199"/>
      <c r="N245" s="94"/>
    </row>
    <row r="246" spans="1:14" ht="24" customHeight="1" outlineLevel="2" x14ac:dyDescent="0.25">
      <c r="A246" s="197"/>
      <c r="B246" s="196"/>
      <c r="C246" s="185"/>
      <c r="D246" s="96" t="s">
        <v>10</v>
      </c>
      <c r="E246" s="83">
        <f t="shared" si="48"/>
        <v>0</v>
      </c>
      <c r="F246" s="12">
        <v>0</v>
      </c>
      <c r="G246" s="12">
        <v>0</v>
      </c>
      <c r="H246" s="12">
        <v>0</v>
      </c>
      <c r="I246" s="185"/>
      <c r="J246" s="199"/>
      <c r="K246" s="199"/>
      <c r="L246" s="199"/>
      <c r="M246" s="199"/>
      <c r="N246" s="94"/>
    </row>
    <row r="247" spans="1:14" ht="24" customHeight="1" outlineLevel="2" x14ac:dyDescent="0.25">
      <c r="A247" s="197"/>
      <c r="B247" s="196"/>
      <c r="C247" s="186"/>
      <c r="D247" s="96" t="s">
        <v>11</v>
      </c>
      <c r="E247" s="83">
        <f t="shared" si="48"/>
        <v>698620</v>
      </c>
      <c r="F247" s="12">
        <v>245550</v>
      </c>
      <c r="G247" s="12">
        <v>0</v>
      </c>
      <c r="H247" s="12">
        <v>453070</v>
      </c>
      <c r="I247" s="185"/>
      <c r="J247" s="199"/>
      <c r="K247" s="199"/>
      <c r="L247" s="199"/>
      <c r="M247" s="199"/>
      <c r="N247" s="94"/>
    </row>
    <row r="248" spans="1:14" ht="15" customHeight="1" outlineLevel="2" x14ac:dyDescent="0.25">
      <c r="A248" s="197"/>
      <c r="B248" s="196"/>
      <c r="C248" s="184" t="s">
        <v>257</v>
      </c>
      <c r="D248" s="93" t="s">
        <v>6</v>
      </c>
      <c r="E248" s="57">
        <f t="shared" si="48"/>
        <v>98728</v>
      </c>
      <c r="F248" s="57">
        <f>SUM(F249:F250)</f>
        <v>0</v>
      </c>
      <c r="G248" s="57">
        <f>SUM(G249:G250)</f>
        <v>0</v>
      </c>
      <c r="H248" s="57">
        <f>SUM(H249:H250)</f>
        <v>98728</v>
      </c>
      <c r="I248" s="185"/>
      <c r="J248" s="199"/>
      <c r="K248" s="199"/>
      <c r="L248" s="199"/>
      <c r="M248" s="199"/>
      <c r="N248" s="94"/>
    </row>
    <row r="249" spans="1:14" ht="15" customHeight="1" outlineLevel="2" x14ac:dyDescent="0.25">
      <c r="A249" s="197"/>
      <c r="B249" s="196"/>
      <c r="C249" s="185"/>
      <c r="D249" s="96" t="s">
        <v>10</v>
      </c>
      <c r="E249" s="83">
        <f t="shared" si="48"/>
        <v>0</v>
      </c>
      <c r="F249" s="12">
        <v>0</v>
      </c>
      <c r="G249" s="12">
        <v>0</v>
      </c>
      <c r="H249" s="12">
        <v>0</v>
      </c>
      <c r="I249" s="185"/>
      <c r="J249" s="199"/>
      <c r="K249" s="199"/>
      <c r="L249" s="199"/>
      <c r="M249" s="199"/>
      <c r="N249" s="94"/>
    </row>
    <row r="250" spans="1:14" ht="15" customHeight="1" outlineLevel="2" x14ac:dyDescent="0.25">
      <c r="A250" s="197"/>
      <c r="B250" s="196"/>
      <c r="C250" s="186"/>
      <c r="D250" s="96" t="s">
        <v>11</v>
      </c>
      <c r="E250" s="83">
        <f t="shared" si="48"/>
        <v>98728</v>
      </c>
      <c r="F250" s="12">
        <v>0</v>
      </c>
      <c r="G250" s="12">
        <v>0</v>
      </c>
      <c r="H250" s="12">
        <f>551798-H247</f>
        <v>98728</v>
      </c>
      <c r="I250" s="186"/>
      <c r="J250" s="200"/>
      <c r="K250" s="200"/>
      <c r="L250" s="200"/>
      <c r="M250" s="200"/>
      <c r="N250" s="94"/>
    </row>
    <row r="251" spans="1:14" ht="21" customHeight="1" outlineLevel="2" x14ac:dyDescent="0.25">
      <c r="A251" s="197" t="s">
        <v>111</v>
      </c>
      <c r="B251" s="196" t="s">
        <v>34</v>
      </c>
      <c r="C251" s="184"/>
      <c r="D251" s="93" t="s">
        <v>6</v>
      </c>
      <c r="E251" s="57">
        <f>SUM(F251:H251)</f>
        <v>1186031</v>
      </c>
      <c r="F251" s="57">
        <f>SUM(F252:F253)</f>
        <v>749581</v>
      </c>
      <c r="G251" s="57">
        <f>SUM(G252:G253)</f>
        <v>291920</v>
      </c>
      <c r="H251" s="57">
        <f>SUM(H252:H253)</f>
        <v>144530</v>
      </c>
      <c r="I251" s="184" t="s">
        <v>81</v>
      </c>
      <c r="J251" s="198" t="s">
        <v>9</v>
      </c>
      <c r="K251" s="198">
        <v>80</v>
      </c>
      <c r="L251" s="198">
        <v>85</v>
      </c>
      <c r="M251" s="198">
        <v>89</v>
      </c>
      <c r="N251" s="94">
        <f>H251-'Апрель)'!H91</f>
        <v>0</v>
      </c>
    </row>
    <row r="252" spans="1:14" ht="21" customHeight="1" outlineLevel="2" x14ac:dyDescent="0.25">
      <c r="A252" s="197"/>
      <c r="B252" s="196"/>
      <c r="C252" s="185"/>
      <c r="D252" s="96" t="s">
        <v>10</v>
      </c>
      <c r="E252" s="83">
        <f>SUM(F252:H252)</f>
        <v>0</v>
      </c>
      <c r="F252" s="12">
        <v>0</v>
      </c>
      <c r="G252" s="12">
        <v>0</v>
      </c>
      <c r="H252" s="12">
        <v>0</v>
      </c>
      <c r="I252" s="185"/>
      <c r="J252" s="199"/>
      <c r="K252" s="199"/>
      <c r="L252" s="199"/>
      <c r="M252" s="199"/>
      <c r="N252" s="94"/>
    </row>
    <row r="253" spans="1:14" ht="21" customHeight="1" outlineLevel="2" x14ac:dyDescent="0.25">
      <c r="A253" s="197"/>
      <c r="B253" s="196"/>
      <c r="C253" s="186"/>
      <c r="D253" s="96" t="s">
        <v>11</v>
      </c>
      <c r="E253" s="83">
        <f>SUM(F253:H253)</f>
        <v>1186031</v>
      </c>
      <c r="F253" s="12">
        <v>749581</v>
      </c>
      <c r="G253" s="12">
        <f>291920</f>
        <v>291920</v>
      </c>
      <c r="H253" s="12">
        <v>144530</v>
      </c>
      <c r="I253" s="185"/>
      <c r="J253" s="199"/>
      <c r="K253" s="199"/>
      <c r="L253" s="199"/>
      <c r="M253" s="199"/>
      <c r="N253" s="94"/>
    </row>
    <row r="254" spans="1:14" ht="24" customHeight="1" outlineLevel="2" x14ac:dyDescent="0.25">
      <c r="A254" s="197"/>
      <c r="B254" s="196"/>
      <c r="C254" s="184" t="s">
        <v>256</v>
      </c>
      <c r="D254" s="93" t="s">
        <v>6</v>
      </c>
      <c r="E254" s="57">
        <f t="shared" ref="E254:E259" si="49">SUM(F254:H254)</f>
        <v>1041501</v>
      </c>
      <c r="F254" s="57">
        <f>SUM(F255:F256)</f>
        <v>749581</v>
      </c>
      <c r="G254" s="57">
        <f>SUM(G255:G256)</f>
        <v>291920</v>
      </c>
      <c r="H254" s="57">
        <f>SUM(H255:H256)</f>
        <v>0</v>
      </c>
      <c r="I254" s="185"/>
      <c r="J254" s="199"/>
      <c r="K254" s="199"/>
      <c r="L254" s="199"/>
      <c r="M254" s="199"/>
      <c r="N254" s="94"/>
    </row>
    <row r="255" spans="1:14" ht="24" customHeight="1" outlineLevel="2" x14ac:dyDescent="0.25">
      <c r="A255" s="197"/>
      <c r="B255" s="196"/>
      <c r="C255" s="185"/>
      <c r="D255" s="96" t="s">
        <v>10</v>
      </c>
      <c r="E255" s="83">
        <f t="shared" si="49"/>
        <v>0</v>
      </c>
      <c r="F255" s="12">
        <v>0</v>
      </c>
      <c r="G255" s="12">
        <v>0</v>
      </c>
      <c r="H255" s="12">
        <v>0</v>
      </c>
      <c r="I255" s="185"/>
      <c r="J255" s="199"/>
      <c r="K255" s="199"/>
      <c r="L255" s="199"/>
      <c r="M255" s="199"/>
      <c r="N255" s="94"/>
    </row>
    <row r="256" spans="1:14" ht="24" customHeight="1" outlineLevel="2" x14ac:dyDescent="0.25">
      <c r="A256" s="197"/>
      <c r="B256" s="196"/>
      <c r="C256" s="186"/>
      <c r="D256" s="96" t="s">
        <v>11</v>
      </c>
      <c r="E256" s="83">
        <f t="shared" si="49"/>
        <v>1041501</v>
      </c>
      <c r="F256" s="12">
        <v>749581</v>
      </c>
      <c r="G256" s="12">
        <f>291920</f>
        <v>291920</v>
      </c>
      <c r="H256" s="12">
        <v>0</v>
      </c>
      <c r="I256" s="185"/>
      <c r="J256" s="199"/>
      <c r="K256" s="199"/>
      <c r="L256" s="199"/>
      <c r="M256" s="199"/>
      <c r="N256" s="94"/>
    </row>
    <row r="257" spans="1:14" ht="15" customHeight="1" outlineLevel="2" x14ac:dyDescent="0.25">
      <c r="A257" s="197"/>
      <c r="B257" s="196"/>
      <c r="C257" s="184" t="s">
        <v>257</v>
      </c>
      <c r="D257" s="93" t="s">
        <v>6</v>
      </c>
      <c r="E257" s="57">
        <f t="shared" si="49"/>
        <v>144530</v>
      </c>
      <c r="F257" s="57">
        <f>SUM(F258:F259)</f>
        <v>0</v>
      </c>
      <c r="G257" s="57">
        <f>SUM(G258:G259)</f>
        <v>0</v>
      </c>
      <c r="H257" s="57">
        <f>SUM(H258:H259)</f>
        <v>144530</v>
      </c>
      <c r="I257" s="185"/>
      <c r="J257" s="199"/>
      <c r="K257" s="199"/>
      <c r="L257" s="199"/>
      <c r="M257" s="199"/>
      <c r="N257" s="94"/>
    </row>
    <row r="258" spans="1:14" ht="15" customHeight="1" outlineLevel="2" x14ac:dyDescent="0.25">
      <c r="A258" s="197"/>
      <c r="B258" s="196"/>
      <c r="C258" s="185"/>
      <c r="D258" s="96" t="s">
        <v>10</v>
      </c>
      <c r="E258" s="83">
        <f t="shared" si="49"/>
        <v>0</v>
      </c>
      <c r="F258" s="12">
        <v>0</v>
      </c>
      <c r="G258" s="12">
        <v>0</v>
      </c>
      <c r="H258" s="12">
        <v>0</v>
      </c>
      <c r="I258" s="185"/>
      <c r="J258" s="199"/>
      <c r="K258" s="199"/>
      <c r="L258" s="199"/>
      <c r="M258" s="199"/>
      <c r="N258" s="94"/>
    </row>
    <row r="259" spans="1:14" ht="15" customHeight="1" outlineLevel="2" x14ac:dyDescent="0.25">
      <c r="A259" s="197"/>
      <c r="B259" s="196"/>
      <c r="C259" s="186"/>
      <c r="D259" s="96" t="s">
        <v>11</v>
      </c>
      <c r="E259" s="83">
        <f t="shared" si="49"/>
        <v>144530</v>
      </c>
      <c r="F259" s="12">
        <v>0</v>
      </c>
      <c r="G259" s="12">
        <v>0</v>
      </c>
      <c r="H259" s="12">
        <v>144530</v>
      </c>
      <c r="I259" s="186"/>
      <c r="J259" s="200"/>
      <c r="K259" s="200"/>
      <c r="L259" s="200"/>
      <c r="M259" s="200"/>
      <c r="N259" s="94"/>
    </row>
    <row r="260" spans="1:14" ht="21" customHeight="1" outlineLevel="2" x14ac:dyDescent="0.25">
      <c r="A260" s="197" t="s">
        <v>112</v>
      </c>
      <c r="B260" s="196" t="s">
        <v>35</v>
      </c>
      <c r="C260" s="184"/>
      <c r="D260" s="93" t="s">
        <v>6</v>
      </c>
      <c r="E260" s="57">
        <f t="shared" ref="E260:E291" si="50">SUM(F260:H260)</f>
        <v>22638376.52</v>
      </c>
      <c r="F260" s="57">
        <f>SUM(F261:F262)</f>
        <v>8431992</v>
      </c>
      <c r="G260" s="57">
        <f>SUM(G261:G262)</f>
        <v>3142177.2</v>
      </c>
      <c r="H260" s="57">
        <f>SUM(H261:H262)</f>
        <v>11064207.32</v>
      </c>
      <c r="I260" s="184" t="s">
        <v>83</v>
      </c>
      <c r="J260" s="198" t="s">
        <v>9</v>
      </c>
      <c r="K260" s="198">
        <v>90</v>
      </c>
      <c r="L260" s="198">
        <v>95</v>
      </c>
      <c r="M260" s="198">
        <v>95</v>
      </c>
      <c r="N260" s="94">
        <f>H260-'Апрель)'!H94</f>
        <v>2176790</v>
      </c>
    </row>
    <row r="261" spans="1:14" ht="21" customHeight="1" outlineLevel="2" x14ac:dyDescent="0.25">
      <c r="A261" s="197"/>
      <c r="B261" s="196"/>
      <c r="C261" s="185"/>
      <c r="D261" s="96" t="s">
        <v>10</v>
      </c>
      <c r="E261" s="83">
        <f t="shared" si="50"/>
        <v>889000</v>
      </c>
      <c r="F261" s="12">
        <v>0</v>
      </c>
      <c r="G261" s="12">
        <f>0+889000</f>
        <v>889000</v>
      </c>
      <c r="H261" s="12">
        <v>0</v>
      </c>
      <c r="I261" s="185"/>
      <c r="J261" s="199"/>
      <c r="K261" s="199"/>
      <c r="L261" s="199"/>
      <c r="M261" s="199"/>
      <c r="N261" s="94"/>
    </row>
    <row r="262" spans="1:14" ht="21" customHeight="1" outlineLevel="2" x14ac:dyDescent="0.25">
      <c r="A262" s="197"/>
      <c r="B262" s="196"/>
      <c r="C262" s="186"/>
      <c r="D262" s="96" t="s">
        <v>11</v>
      </c>
      <c r="E262" s="83">
        <f t="shared" si="50"/>
        <v>21749376.52</v>
      </c>
      <c r="F262" s="12">
        <v>8431992</v>
      </c>
      <c r="G262" s="12">
        <f>3202020-889000-59842.8</f>
        <v>2253177.2000000002</v>
      </c>
      <c r="H262" s="12">
        <v>11064207.32</v>
      </c>
      <c r="I262" s="185"/>
      <c r="J262" s="199"/>
      <c r="K262" s="199"/>
      <c r="L262" s="199"/>
      <c r="M262" s="199"/>
      <c r="N262" s="94"/>
    </row>
    <row r="263" spans="1:14" ht="24" customHeight="1" outlineLevel="2" x14ac:dyDescent="0.25">
      <c r="A263" s="197"/>
      <c r="B263" s="196"/>
      <c r="C263" s="184" t="s">
        <v>256</v>
      </c>
      <c r="D263" s="93" t="s">
        <v>6</v>
      </c>
      <c r="E263" s="57">
        <f t="shared" si="50"/>
        <v>16498239.199999999</v>
      </c>
      <c r="F263" s="57">
        <f>SUM(F264:F265)</f>
        <v>8431992</v>
      </c>
      <c r="G263" s="57">
        <f>SUM(G264:G265)</f>
        <v>3142177.2</v>
      </c>
      <c r="H263" s="57">
        <f>SUM(H264:H265)</f>
        <v>4924070</v>
      </c>
      <c r="I263" s="185"/>
      <c r="J263" s="199"/>
      <c r="K263" s="199"/>
      <c r="L263" s="199"/>
      <c r="M263" s="199"/>
      <c r="N263" s="94"/>
    </row>
    <row r="264" spans="1:14" ht="24" customHeight="1" outlineLevel="2" x14ac:dyDescent="0.25">
      <c r="A264" s="197"/>
      <c r="B264" s="196"/>
      <c r="C264" s="185"/>
      <c r="D264" s="96" t="s">
        <v>10</v>
      </c>
      <c r="E264" s="83">
        <f t="shared" si="50"/>
        <v>889000</v>
      </c>
      <c r="F264" s="12">
        <v>0</v>
      </c>
      <c r="G264" s="12">
        <f>0+889000</f>
        <v>889000</v>
      </c>
      <c r="H264" s="12">
        <v>0</v>
      </c>
      <c r="I264" s="185"/>
      <c r="J264" s="199"/>
      <c r="K264" s="199"/>
      <c r="L264" s="199"/>
      <c r="M264" s="199"/>
      <c r="N264" s="94"/>
    </row>
    <row r="265" spans="1:14" ht="24" customHeight="1" outlineLevel="2" x14ac:dyDescent="0.25">
      <c r="A265" s="197"/>
      <c r="B265" s="196"/>
      <c r="C265" s="186"/>
      <c r="D265" s="96" t="s">
        <v>11</v>
      </c>
      <c r="E265" s="83">
        <f t="shared" si="50"/>
        <v>15609239.199999999</v>
      </c>
      <c r="F265" s="12">
        <v>8431992</v>
      </c>
      <c r="G265" s="12">
        <f>3202020-889000-59842.8</f>
        <v>2253177.2000000002</v>
      </c>
      <c r="H265" s="12">
        <f>4856330+5+67735</f>
        <v>4924070</v>
      </c>
      <c r="I265" s="185"/>
      <c r="J265" s="199"/>
      <c r="K265" s="199"/>
      <c r="L265" s="199"/>
      <c r="M265" s="199"/>
      <c r="N265" s="94"/>
    </row>
    <row r="266" spans="1:14" ht="15" customHeight="1" outlineLevel="2" x14ac:dyDescent="0.25">
      <c r="A266" s="197"/>
      <c r="B266" s="196"/>
      <c r="C266" s="184" t="s">
        <v>257</v>
      </c>
      <c r="D266" s="93" t="s">
        <v>6</v>
      </c>
      <c r="E266" s="57">
        <f t="shared" si="50"/>
        <v>6140137.3200000003</v>
      </c>
      <c r="F266" s="57">
        <f>SUM(F267:F268)</f>
        <v>0</v>
      </c>
      <c r="G266" s="57">
        <f>SUM(G267:G268)</f>
        <v>0</v>
      </c>
      <c r="H266" s="57">
        <f>SUM(H267:H268)</f>
        <v>6140137.3200000003</v>
      </c>
      <c r="I266" s="185"/>
      <c r="J266" s="199"/>
      <c r="K266" s="199"/>
      <c r="L266" s="199"/>
      <c r="M266" s="199"/>
      <c r="N266" s="94"/>
    </row>
    <row r="267" spans="1:14" ht="15" customHeight="1" outlineLevel="2" x14ac:dyDescent="0.25">
      <c r="A267" s="197"/>
      <c r="B267" s="196"/>
      <c r="C267" s="185"/>
      <c r="D267" s="96" t="s">
        <v>10</v>
      </c>
      <c r="E267" s="83">
        <f t="shared" si="50"/>
        <v>0</v>
      </c>
      <c r="F267" s="12">
        <v>0</v>
      </c>
      <c r="G267" s="12">
        <v>0</v>
      </c>
      <c r="H267" s="12">
        <v>0</v>
      </c>
      <c r="I267" s="185"/>
      <c r="J267" s="199"/>
      <c r="K267" s="199"/>
      <c r="L267" s="199"/>
      <c r="M267" s="199"/>
      <c r="N267" s="94"/>
    </row>
    <row r="268" spans="1:14" ht="15" customHeight="1" outlineLevel="2" x14ac:dyDescent="0.25">
      <c r="A268" s="197"/>
      <c r="B268" s="196"/>
      <c r="C268" s="186"/>
      <c r="D268" s="96" t="s">
        <v>11</v>
      </c>
      <c r="E268" s="83">
        <f t="shared" si="50"/>
        <v>6140137.3200000003</v>
      </c>
      <c r="F268" s="12">
        <v>0</v>
      </c>
      <c r="G268" s="12">
        <v>0</v>
      </c>
      <c r="H268" s="12">
        <f>11064207.32-H265</f>
        <v>6140137.3200000003</v>
      </c>
      <c r="I268" s="186"/>
      <c r="J268" s="200"/>
      <c r="K268" s="200"/>
      <c r="L268" s="200"/>
      <c r="M268" s="200"/>
      <c r="N268" s="94"/>
    </row>
    <row r="269" spans="1:14" ht="21" customHeight="1" outlineLevel="2" x14ac:dyDescent="0.25">
      <c r="A269" s="197" t="s">
        <v>113</v>
      </c>
      <c r="B269" s="196" t="s">
        <v>36</v>
      </c>
      <c r="C269" s="184"/>
      <c r="D269" s="93" t="s">
        <v>6</v>
      </c>
      <c r="E269" s="57">
        <f t="shared" si="50"/>
        <v>3163045</v>
      </c>
      <c r="F269" s="57">
        <f>SUM(F270:F271)</f>
        <v>2676315</v>
      </c>
      <c r="G269" s="57">
        <f>SUM(G270:G271)</f>
        <v>486730</v>
      </c>
      <c r="H269" s="57">
        <f>SUM(H270:H271)</f>
        <v>0</v>
      </c>
      <c r="I269" s="184" t="s">
        <v>84</v>
      </c>
      <c r="J269" s="198" t="s">
        <v>9</v>
      </c>
      <c r="K269" s="198">
        <v>95</v>
      </c>
      <c r="L269" s="198">
        <v>95</v>
      </c>
      <c r="M269" s="198" t="s">
        <v>93</v>
      </c>
      <c r="N269" s="94">
        <f>H269-'Апрель)'!H97</f>
        <v>0</v>
      </c>
    </row>
    <row r="270" spans="1:14" ht="21" customHeight="1" outlineLevel="2" x14ac:dyDescent="0.25">
      <c r="A270" s="197"/>
      <c r="B270" s="196"/>
      <c r="C270" s="185"/>
      <c r="D270" s="96" t="s">
        <v>10</v>
      </c>
      <c r="E270" s="83">
        <f t="shared" si="50"/>
        <v>0</v>
      </c>
      <c r="F270" s="12">
        <v>0</v>
      </c>
      <c r="G270" s="12">
        <v>0</v>
      </c>
      <c r="H270" s="12">
        <v>0</v>
      </c>
      <c r="I270" s="185"/>
      <c r="J270" s="199"/>
      <c r="K270" s="199"/>
      <c r="L270" s="199"/>
      <c r="M270" s="199"/>
      <c r="N270" s="94"/>
    </row>
    <row r="271" spans="1:14" ht="21" customHeight="1" outlineLevel="2" x14ac:dyDescent="0.25">
      <c r="A271" s="197"/>
      <c r="B271" s="196"/>
      <c r="C271" s="186"/>
      <c r="D271" s="96" t="s">
        <v>11</v>
      </c>
      <c r="E271" s="83">
        <f t="shared" si="50"/>
        <v>3163045</v>
      </c>
      <c r="F271" s="12">
        <v>2676315</v>
      </c>
      <c r="G271" s="12">
        <v>486730</v>
      </c>
      <c r="H271" s="12">
        <v>0</v>
      </c>
      <c r="I271" s="185"/>
      <c r="J271" s="199"/>
      <c r="K271" s="199"/>
      <c r="L271" s="199"/>
      <c r="M271" s="199"/>
      <c r="N271" s="94"/>
    </row>
    <row r="272" spans="1:14" ht="24" customHeight="1" outlineLevel="2" x14ac:dyDescent="0.25">
      <c r="A272" s="197"/>
      <c r="B272" s="196"/>
      <c r="C272" s="184" t="s">
        <v>256</v>
      </c>
      <c r="D272" s="93" t="s">
        <v>6</v>
      </c>
      <c r="E272" s="57">
        <f t="shared" si="50"/>
        <v>3163045</v>
      </c>
      <c r="F272" s="57">
        <f>SUM(F273:F274)</f>
        <v>2676315</v>
      </c>
      <c r="G272" s="57">
        <f>SUM(G273:G274)</f>
        <v>486730</v>
      </c>
      <c r="H272" s="57">
        <f>SUM(H273:H274)</f>
        <v>0</v>
      </c>
      <c r="I272" s="185"/>
      <c r="J272" s="199"/>
      <c r="K272" s="199"/>
      <c r="L272" s="199"/>
      <c r="M272" s="199"/>
      <c r="N272" s="94"/>
    </row>
    <row r="273" spans="1:14" ht="24" customHeight="1" outlineLevel="2" x14ac:dyDescent="0.25">
      <c r="A273" s="197"/>
      <c r="B273" s="196"/>
      <c r="C273" s="185"/>
      <c r="D273" s="96" t="s">
        <v>10</v>
      </c>
      <c r="E273" s="83">
        <f t="shared" si="50"/>
        <v>0</v>
      </c>
      <c r="F273" s="12">
        <v>0</v>
      </c>
      <c r="G273" s="12">
        <v>0</v>
      </c>
      <c r="H273" s="12">
        <v>0</v>
      </c>
      <c r="I273" s="185"/>
      <c r="J273" s="199"/>
      <c r="K273" s="199"/>
      <c r="L273" s="199"/>
      <c r="M273" s="199"/>
      <c r="N273" s="94"/>
    </row>
    <row r="274" spans="1:14" ht="24" customHeight="1" outlineLevel="2" x14ac:dyDescent="0.25">
      <c r="A274" s="197"/>
      <c r="B274" s="196"/>
      <c r="C274" s="186"/>
      <c r="D274" s="96" t="s">
        <v>11</v>
      </c>
      <c r="E274" s="83">
        <f t="shared" si="50"/>
        <v>3163045</v>
      </c>
      <c r="F274" s="12">
        <v>2676315</v>
      </c>
      <c r="G274" s="12">
        <v>486730</v>
      </c>
      <c r="H274" s="12">
        <v>0</v>
      </c>
      <c r="I274" s="185"/>
      <c r="J274" s="199"/>
      <c r="K274" s="199"/>
      <c r="L274" s="199"/>
      <c r="M274" s="199"/>
      <c r="N274" s="94"/>
    </row>
    <row r="275" spans="1:14" ht="15" customHeight="1" outlineLevel="2" x14ac:dyDescent="0.25">
      <c r="A275" s="197"/>
      <c r="B275" s="196"/>
      <c r="C275" s="184" t="s">
        <v>257</v>
      </c>
      <c r="D275" s="93" t="s">
        <v>6</v>
      </c>
      <c r="E275" s="57">
        <f t="shared" si="50"/>
        <v>0</v>
      </c>
      <c r="F275" s="57">
        <f>SUM(F276:F277)</f>
        <v>0</v>
      </c>
      <c r="G275" s="57">
        <f>SUM(G276:G277)</f>
        <v>0</v>
      </c>
      <c r="H275" s="57">
        <f>SUM(H276:H277)</f>
        <v>0</v>
      </c>
      <c r="I275" s="185"/>
      <c r="J275" s="199"/>
      <c r="K275" s="199"/>
      <c r="L275" s="199"/>
      <c r="M275" s="199"/>
      <c r="N275" s="94"/>
    </row>
    <row r="276" spans="1:14" ht="15" customHeight="1" outlineLevel="2" x14ac:dyDescent="0.25">
      <c r="A276" s="197"/>
      <c r="B276" s="196"/>
      <c r="C276" s="185"/>
      <c r="D276" s="96" t="s">
        <v>10</v>
      </c>
      <c r="E276" s="83">
        <f t="shared" si="50"/>
        <v>0</v>
      </c>
      <c r="F276" s="12">
        <v>0</v>
      </c>
      <c r="G276" s="12">
        <v>0</v>
      </c>
      <c r="H276" s="12">
        <v>0</v>
      </c>
      <c r="I276" s="185"/>
      <c r="J276" s="199"/>
      <c r="K276" s="199"/>
      <c r="L276" s="199"/>
      <c r="M276" s="199"/>
      <c r="N276" s="94"/>
    </row>
    <row r="277" spans="1:14" ht="15" customHeight="1" outlineLevel="2" x14ac:dyDescent="0.25">
      <c r="A277" s="197"/>
      <c r="B277" s="196"/>
      <c r="C277" s="186"/>
      <c r="D277" s="96" t="s">
        <v>11</v>
      </c>
      <c r="E277" s="83">
        <f t="shared" si="50"/>
        <v>0</v>
      </c>
      <c r="F277" s="12">
        <v>0</v>
      </c>
      <c r="G277" s="12">
        <v>0</v>
      </c>
      <c r="H277" s="12">
        <v>0</v>
      </c>
      <c r="I277" s="186"/>
      <c r="J277" s="200"/>
      <c r="K277" s="200"/>
      <c r="L277" s="200"/>
      <c r="M277" s="200"/>
      <c r="N277" s="94"/>
    </row>
    <row r="278" spans="1:14" ht="21" customHeight="1" outlineLevel="2" x14ac:dyDescent="0.25">
      <c r="A278" s="197" t="s">
        <v>114</v>
      </c>
      <c r="B278" s="196" t="s">
        <v>37</v>
      </c>
      <c r="C278" s="184"/>
      <c r="D278" s="93" t="s">
        <v>6</v>
      </c>
      <c r="E278" s="57">
        <f t="shared" si="50"/>
        <v>526811</v>
      </c>
      <c r="F278" s="57">
        <f>SUM(F279:F280)</f>
        <v>379584</v>
      </c>
      <c r="G278" s="57">
        <f>SUM(G279:G280)</f>
        <v>25000</v>
      </c>
      <c r="H278" s="57">
        <f>SUM(H279:H280)</f>
        <v>122227</v>
      </c>
      <c r="I278" s="184" t="s">
        <v>85</v>
      </c>
      <c r="J278" s="198" t="s">
        <v>9</v>
      </c>
      <c r="K278" s="198">
        <v>20</v>
      </c>
      <c r="L278" s="198">
        <v>20</v>
      </c>
      <c r="M278" s="198">
        <v>24.1</v>
      </c>
      <c r="N278" s="94">
        <f>H278-'Апрель)'!H100</f>
        <v>0</v>
      </c>
    </row>
    <row r="279" spans="1:14" ht="21" customHeight="1" outlineLevel="2" x14ac:dyDescent="0.25">
      <c r="A279" s="197"/>
      <c r="B279" s="196"/>
      <c r="C279" s="185"/>
      <c r="D279" s="96" t="s">
        <v>10</v>
      </c>
      <c r="E279" s="83">
        <f t="shared" si="50"/>
        <v>0</v>
      </c>
      <c r="F279" s="12">
        <v>0</v>
      </c>
      <c r="G279" s="12">
        <v>0</v>
      </c>
      <c r="H279" s="12">
        <v>0</v>
      </c>
      <c r="I279" s="185"/>
      <c r="J279" s="199"/>
      <c r="K279" s="199"/>
      <c r="L279" s="199"/>
      <c r="M279" s="199"/>
      <c r="N279" s="94"/>
    </row>
    <row r="280" spans="1:14" ht="21" customHeight="1" outlineLevel="2" x14ac:dyDescent="0.25">
      <c r="A280" s="197"/>
      <c r="B280" s="196"/>
      <c r="C280" s="186"/>
      <c r="D280" s="96" t="s">
        <v>11</v>
      </c>
      <c r="E280" s="83">
        <f t="shared" si="50"/>
        <v>526811</v>
      </c>
      <c r="F280" s="12">
        <v>379584</v>
      </c>
      <c r="G280" s="12">
        <v>25000</v>
      </c>
      <c r="H280" s="12">
        <v>122227</v>
      </c>
      <c r="I280" s="185"/>
      <c r="J280" s="199"/>
      <c r="K280" s="199"/>
      <c r="L280" s="199"/>
      <c r="M280" s="199"/>
      <c r="N280" s="94"/>
    </row>
    <row r="281" spans="1:14" ht="24" customHeight="1" outlineLevel="2" x14ac:dyDescent="0.25">
      <c r="A281" s="197"/>
      <c r="B281" s="196"/>
      <c r="C281" s="184" t="s">
        <v>256</v>
      </c>
      <c r="D281" s="93" t="s">
        <v>6</v>
      </c>
      <c r="E281" s="57">
        <f t="shared" si="50"/>
        <v>433554</v>
      </c>
      <c r="F281" s="57">
        <f>SUM(F282:F283)</f>
        <v>379584</v>
      </c>
      <c r="G281" s="57">
        <f>SUM(G282:G283)</f>
        <v>25000</v>
      </c>
      <c r="H281" s="57">
        <f>SUM(H282:H283)</f>
        <v>28970</v>
      </c>
      <c r="I281" s="185"/>
      <c r="J281" s="199"/>
      <c r="K281" s="199"/>
      <c r="L281" s="199"/>
      <c r="M281" s="199"/>
      <c r="N281" s="94"/>
    </row>
    <row r="282" spans="1:14" ht="24" customHeight="1" outlineLevel="2" x14ac:dyDescent="0.25">
      <c r="A282" s="197"/>
      <c r="B282" s="196"/>
      <c r="C282" s="185"/>
      <c r="D282" s="96" t="s">
        <v>10</v>
      </c>
      <c r="E282" s="83">
        <f t="shared" si="50"/>
        <v>0</v>
      </c>
      <c r="F282" s="12">
        <v>0</v>
      </c>
      <c r="G282" s="12">
        <v>0</v>
      </c>
      <c r="H282" s="12">
        <v>0</v>
      </c>
      <c r="I282" s="185"/>
      <c r="J282" s="199"/>
      <c r="K282" s="199"/>
      <c r="L282" s="199"/>
      <c r="M282" s="199"/>
      <c r="N282" s="94"/>
    </row>
    <row r="283" spans="1:14" ht="24" customHeight="1" outlineLevel="2" x14ac:dyDescent="0.25">
      <c r="A283" s="197"/>
      <c r="B283" s="196"/>
      <c r="C283" s="186"/>
      <c r="D283" s="96" t="s">
        <v>11</v>
      </c>
      <c r="E283" s="83">
        <f t="shared" si="50"/>
        <v>433554</v>
      </c>
      <c r="F283" s="12">
        <v>379584</v>
      </c>
      <c r="G283" s="12">
        <v>25000</v>
      </c>
      <c r="H283" s="12">
        <v>28970</v>
      </c>
      <c r="I283" s="185"/>
      <c r="J283" s="199"/>
      <c r="K283" s="199"/>
      <c r="L283" s="199"/>
      <c r="M283" s="199"/>
      <c r="N283" s="94"/>
    </row>
    <row r="284" spans="1:14" ht="15" customHeight="1" outlineLevel="2" x14ac:dyDescent="0.25">
      <c r="A284" s="197"/>
      <c r="B284" s="196"/>
      <c r="C284" s="184" t="s">
        <v>257</v>
      </c>
      <c r="D284" s="93" t="s">
        <v>6</v>
      </c>
      <c r="E284" s="57">
        <f t="shared" si="50"/>
        <v>93257</v>
      </c>
      <c r="F284" s="57">
        <f>SUM(F285:F286)</f>
        <v>0</v>
      </c>
      <c r="G284" s="57">
        <f>SUM(G285:G286)</f>
        <v>0</v>
      </c>
      <c r="H284" s="57">
        <f>SUM(H285:H286)</f>
        <v>93257</v>
      </c>
      <c r="I284" s="185"/>
      <c r="J284" s="199"/>
      <c r="K284" s="199"/>
      <c r="L284" s="199"/>
      <c r="M284" s="199"/>
      <c r="N284" s="94"/>
    </row>
    <row r="285" spans="1:14" ht="15" customHeight="1" outlineLevel="2" x14ac:dyDescent="0.25">
      <c r="A285" s="197"/>
      <c r="B285" s="196"/>
      <c r="C285" s="185"/>
      <c r="D285" s="96" t="s">
        <v>10</v>
      </c>
      <c r="E285" s="83">
        <f t="shared" si="50"/>
        <v>0</v>
      </c>
      <c r="F285" s="12">
        <v>0</v>
      </c>
      <c r="G285" s="12">
        <v>0</v>
      </c>
      <c r="H285" s="12">
        <v>0</v>
      </c>
      <c r="I285" s="185"/>
      <c r="J285" s="199"/>
      <c r="K285" s="199"/>
      <c r="L285" s="199"/>
      <c r="M285" s="199"/>
      <c r="N285" s="94"/>
    </row>
    <row r="286" spans="1:14" ht="15" customHeight="1" outlineLevel="2" x14ac:dyDescent="0.25">
      <c r="A286" s="197"/>
      <c r="B286" s="196"/>
      <c r="C286" s="186"/>
      <c r="D286" s="96" t="s">
        <v>11</v>
      </c>
      <c r="E286" s="83">
        <f t="shared" si="50"/>
        <v>93257</v>
      </c>
      <c r="F286" s="12">
        <v>0</v>
      </c>
      <c r="G286" s="12">
        <v>0</v>
      </c>
      <c r="H286" s="12">
        <f>122227-H283</f>
        <v>93257</v>
      </c>
      <c r="I286" s="186"/>
      <c r="J286" s="200"/>
      <c r="K286" s="200"/>
      <c r="L286" s="200"/>
      <c r="M286" s="200"/>
      <c r="N286" s="94"/>
    </row>
    <row r="287" spans="1:14" ht="21" customHeight="1" outlineLevel="2" x14ac:dyDescent="0.25">
      <c r="A287" s="197" t="s">
        <v>115</v>
      </c>
      <c r="B287" s="196" t="s">
        <v>38</v>
      </c>
      <c r="C287" s="184"/>
      <c r="D287" s="93" t="s">
        <v>6</v>
      </c>
      <c r="E287" s="57">
        <f t="shared" si="50"/>
        <v>737750</v>
      </c>
      <c r="F287" s="57">
        <f>SUM(F288:F289)</f>
        <v>737750</v>
      </c>
      <c r="G287" s="57">
        <f>SUM(G288:G289)</f>
        <v>0</v>
      </c>
      <c r="H287" s="57">
        <f>SUM(H288:H289)</f>
        <v>0</v>
      </c>
      <c r="I287" s="184" t="s">
        <v>86</v>
      </c>
      <c r="J287" s="198" t="s">
        <v>9</v>
      </c>
      <c r="K287" s="198">
        <v>95</v>
      </c>
      <c r="L287" s="198">
        <v>95</v>
      </c>
      <c r="M287" s="198">
        <v>95</v>
      </c>
      <c r="N287" s="94">
        <f>H287-'Апрель)'!H103</f>
        <v>0</v>
      </c>
    </row>
    <row r="288" spans="1:14" ht="21" customHeight="1" outlineLevel="2" x14ac:dyDescent="0.25">
      <c r="A288" s="197"/>
      <c r="B288" s="196"/>
      <c r="C288" s="185"/>
      <c r="D288" s="96" t="s">
        <v>10</v>
      </c>
      <c r="E288" s="83">
        <f t="shared" si="50"/>
        <v>0</v>
      </c>
      <c r="F288" s="12">
        <v>0</v>
      </c>
      <c r="G288" s="12">
        <v>0</v>
      </c>
      <c r="H288" s="12">
        <v>0</v>
      </c>
      <c r="I288" s="185"/>
      <c r="J288" s="199"/>
      <c r="K288" s="199"/>
      <c r="L288" s="199"/>
      <c r="M288" s="199"/>
      <c r="N288" s="94"/>
    </row>
    <row r="289" spans="1:14" ht="21" customHeight="1" outlineLevel="2" x14ac:dyDescent="0.25">
      <c r="A289" s="197"/>
      <c r="B289" s="196"/>
      <c r="C289" s="186"/>
      <c r="D289" s="96" t="s">
        <v>11</v>
      </c>
      <c r="E289" s="83">
        <f t="shared" si="50"/>
        <v>737750</v>
      </c>
      <c r="F289" s="12">
        <v>737750</v>
      </c>
      <c r="G289" s="12">
        <v>0</v>
      </c>
      <c r="H289" s="12">
        <v>0</v>
      </c>
      <c r="I289" s="185"/>
      <c r="J289" s="199"/>
      <c r="K289" s="199"/>
      <c r="L289" s="199"/>
      <c r="M289" s="199"/>
      <c r="N289" s="94"/>
    </row>
    <row r="290" spans="1:14" ht="24" customHeight="1" outlineLevel="2" x14ac:dyDescent="0.25">
      <c r="A290" s="197"/>
      <c r="B290" s="196"/>
      <c r="C290" s="184" t="s">
        <v>256</v>
      </c>
      <c r="D290" s="93" t="s">
        <v>6</v>
      </c>
      <c r="E290" s="57">
        <f t="shared" si="50"/>
        <v>737750</v>
      </c>
      <c r="F290" s="57">
        <f>SUM(F291:F292)</f>
        <v>737750</v>
      </c>
      <c r="G290" s="57">
        <f>SUM(G291:G292)</f>
        <v>0</v>
      </c>
      <c r="H290" s="57">
        <f>SUM(H291:H292)</f>
        <v>0</v>
      </c>
      <c r="I290" s="185"/>
      <c r="J290" s="199"/>
      <c r="K290" s="199"/>
      <c r="L290" s="199"/>
      <c r="M290" s="199"/>
      <c r="N290" s="94"/>
    </row>
    <row r="291" spans="1:14" ht="24" customHeight="1" outlineLevel="2" x14ac:dyDescent="0.25">
      <c r="A291" s="197"/>
      <c r="B291" s="196"/>
      <c r="C291" s="185"/>
      <c r="D291" s="96" t="s">
        <v>10</v>
      </c>
      <c r="E291" s="83">
        <f t="shared" si="50"/>
        <v>0</v>
      </c>
      <c r="F291" s="12">
        <v>0</v>
      </c>
      <c r="G291" s="12">
        <v>0</v>
      </c>
      <c r="H291" s="12">
        <v>0</v>
      </c>
      <c r="I291" s="185"/>
      <c r="J291" s="199"/>
      <c r="K291" s="199"/>
      <c r="L291" s="199"/>
      <c r="M291" s="199"/>
      <c r="N291" s="94"/>
    </row>
    <row r="292" spans="1:14" ht="24" customHeight="1" outlineLevel="2" x14ac:dyDescent="0.25">
      <c r="A292" s="197"/>
      <c r="B292" s="196"/>
      <c r="C292" s="186"/>
      <c r="D292" s="96" t="s">
        <v>11</v>
      </c>
      <c r="E292" s="83">
        <f t="shared" ref="E292:E323" si="51">SUM(F292:H292)</f>
        <v>737750</v>
      </c>
      <c r="F292" s="12">
        <v>737750</v>
      </c>
      <c r="G292" s="12">
        <v>0</v>
      </c>
      <c r="H292" s="12">
        <v>0</v>
      </c>
      <c r="I292" s="185"/>
      <c r="J292" s="199"/>
      <c r="K292" s="199"/>
      <c r="L292" s="199"/>
      <c r="M292" s="199"/>
      <c r="N292" s="94"/>
    </row>
    <row r="293" spans="1:14" ht="15" customHeight="1" outlineLevel="2" x14ac:dyDescent="0.25">
      <c r="A293" s="197"/>
      <c r="B293" s="196"/>
      <c r="C293" s="184" t="s">
        <v>257</v>
      </c>
      <c r="D293" s="93" t="s">
        <v>6</v>
      </c>
      <c r="E293" s="57">
        <f t="shared" si="51"/>
        <v>0</v>
      </c>
      <c r="F293" s="57">
        <f>SUM(F294:F295)</f>
        <v>0</v>
      </c>
      <c r="G293" s="57">
        <f>SUM(G294:G295)</f>
        <v>0</v>
      </c>
      <c r="H293" s="57">
        <f>SUM(H294:H295)</f>
        <v>0</v>
      </c>
      <c r="I293" s="185"/>
      <c r="J293" s="199"/>
      <c r="K293" s="199"/>
      <c r="L293" s="199"/>
      <c r="M293" s="199"/>
      <c r="N293" s="94"/>
    </row>
    <row r="294" spans="1:14" ht="15" customHeight="1" outlineLevel="2" x14ac:dyDescent="0.25">
      <c r="A294" s="197"/>
      <c r="B294" s="196"/>
      <c r="C294" s="185"/>
      <c r="D294" s="96" t="s">
        <v>10</v>
      </c>
      <c r="E294" s="83">
        <f t="shared" si="51"/>
        <v>0</v>
      </c>
      <c r="F294" s="12">
        <v>0</v>
      </c>
      <c r="G294" s="12">
        <v>0</v>
      </c>
      <c r="H294" s="12">
        <v>0</v>
      </c>
      <c r="I294" s="185"/>
      <c r="J294" s="199"/>
      <c r="K294" s="199"/>
      <c r="L294" s="199"/>
      <c r="M294" s="199"/>
      <c r="N294" s="94"/>
    </row>
    <row r="295" spans="1:14" ht="15" customHeight="1" outlineLevel="2" x14ac:dyDescent="0.25">
      <c r="A295" s="197"/>
      <c r="B295" s="196"/>
      <c r="C295" s="186"/>
      <c r="D295" s="96" t="s">
        <v>11</v>
      </c>
      <c r="E295" s="83">
        <f t="shared" si="51"/>
        <v>0</v>
      </c>
      <c r="F295" s="12">
        <v>0</v>
      </c>
      <c r="G295" s="12">
        <v>0</v>
      </c>
      <c r="H295" s="12">
        <v>0</v>
      </c>
      <c r="I295" s="186"/>
      <c r="J295" s="200"/>
      <c r="K295" s="200"/>
      <c r="L295" s="200"/>
      <c r="M295" s="200"/>
      <c r="N295" s="94"/>
    </row>
    <row r="296" spans="1:14" ht="21" customHeight="1" outlineLevel="2" x14ac:dyDescent="0.25">
      <c r="A296" s="197" t="s">
        <v>116</v>
      </c>
      <c r="B296" s="196" t="s">
        <v>69</v>
      </c>
      <c r="C296" s="184"/>
      <c r="D296" s="93" t="s">
        <v>6</v>
      </c>
      <c r="E296" s="57">
        <f t="shared" si="51"/>
        <v>922278.87</v>
      </c>
      <c r="F296" s="57">
        <f>SUM(F297:F298)</f>
        <v>80300</v>
      </c>
      <c r="G296" s="57">
        <f>SUM(G297:G298)</f>
        <v>438258.87</v>
      </c>
      <c r="H296" s="57">
        <f>SUM(H297:H298)</f>
        <v>403720</v>
      </c>
      <c r="I296" s="184" t="s">
        <v>87</v>
      </c>
      <c r="J296" s="198" t="s">
        <v>9</v>
      </c>
      <c r="K296" s="198">
        <v>5</v>
      </c>
      <c r="L296" s="198">
        <v>10</v>
      </c>
      <c r="M296" s="198">
        <v>10</v>
      </c>
      <c r="N296" s="94">
        <f>H296-'Апрель)'!H106</f>
        <v>351150</v>
      </c>
    </row>
    <row r="297" spans="1:14" ht="21" customHeight="1" outlineLevel="2" x14ac:dyDescent="0.25">
      <c r="A297" s="197"/>
      <c r="B297" s="196"/>
      <c r="C297" s="185"/>
      <c r="D297" s="96" t="s">
        <v>10</v>
      </c>
      <c r="E297" s="83">
        <f t="shared" si="51"/>
        <v>0</v>
      </c>
      <c r="F297" s="12">
        <v>0</v>
      </c>
      <c r="G297" s="12">
        <v>0</v>
      </c>
      <c r="H297" s="12">
        <v>0</v>
      </c>
      <c r="I297" s="185"/>
      <c r="J297" s="199"/>
      <c r="K297" s="199"/>
      <c r="L297" s="199"/>
      <c r="M297" s="199"/>
      <c r="N297" s="94"/>
    </row>
    <row r="298" spans="1:14" ht="21" customHeight="1" outlineLevel="2" x14ac:dyDescent="0.25">
      <c r="A298" s="197"/>
      <c r="B298" s="196"/>
      <c r="C298" s="186"/>
      <c r="D298" s="96" t="s">
        <v>11</v>
      </c>
      <c r="E298" s="83">
        <f t="shared" si="51"/>
        <v>922278.87</v>
      </c>
      <c r="F298" s="12">
        <v>80300</v>
      </c>
      <c r="G298" s="12">
        <f>600010-161751.13</f>
        <v>438258.87</v>
      </c>
      <c r="H298" s="12">
        <f>52570+351150</f>
        <v>403720</v>
      </c>
      <c r="I298" s="185"/>
      <c r="J298" s="199"/>
      <c r="K298" s="199"/>
      <c r="L298" s="199"/>
      <c r="M298" s="199"/>
      <c r="N298" s="94"/>
    </row>
    <row r="299" spans="1:14" ht="24" customHeight="1" outlineLevel="2" x14ac:dyDescent="0.25">
      <c r="A299" s="197"/>
      <c r="B299" s="196"/>
      <c r="C299" s="184" t="s">
        <v>256</v>
      </c>
      <c r="D299" s="93" t="s">
        <v>6</v>
      </c>
      <c r="E299" s="57">
        <f t="shared" si="51"/>
        <v>922278.87</v>
      </c>
      <c r="F299" s="57">
        <f>SUM(F300:F301)</f>
        <v>80300</v>
      </c>
      <c r="G299" s="57">
        <f>SUM(G300:G301)</f>
        <v>438258.87</v>
      </c>
      <c r="H299" s="57">
        <f>SUM(H300:H301)</f>
        <v>403720</v>
      </c>
      <c r="I299" s="185"/>
      <c r="J299" s="199"/>
      <c r="K299" s="199"/>
      <c r="L299" s="199"/>
      <c r="M299" s="199"/>
      <c r="N299" s="94"/>
    </row>
    <row r="300" spans="1:14" ht="24" customHeight="1" outlineLevel="2" x14ac:dyDescent="0.25">
      <c r="A300" s="197"/>
      <c r="B300" s="196"/>
      <c r="C300" s="185"/>
      <c r="D300" s="96" t="s">
        <v>10</v>
      </c>
      <c r="E300" s="83">
        <f t="shared" si="51"/>
        <v>0</v>
      </c>
      <c r="F300" s="12">
        <v>0</v>
      </c>
      <c r="G300" s="12">
        <v>0</v>
      </c>
      <c r="H300" s="12">
        <v>0</v>
      </c>
      <c r="I300" s="185"/>
      <c r="J300" s="199"/>
      <c r="K300" s="199"/>
      <c r="L300" s="199"/>
      <c r="M300" s="199"/>
      <c r="N300" s="94"/>
    </row>
    <row r="301" spans="1:14" ht="24" customHeight="1" outlineLevel="2" x14ac:dyDescent="0.25">
      <c r="A301" s="197"/>
      <c r="B301" s="196"/>
      <c r="C301" s="186"/>
      <c r="D301" s="96" t="s">
        <v>11</v>
      </c>
      <c r="E301" s="83">
        <f t="shared" si="51"/>
        <v>922278.87</v>
      </c>
      <c r="F301" s="12">
        <v>80300</v>
      </c>
      <c r="G301" s="12">
        <f>600010-161751.13</f>
        <v>438258.87</v>
      </c>
      <c r="H301" s="12">
        <f>52570+351150</f>
        <v>403720</v>
      </c>
      <c r="I301" s="185"/>
      <c r="J301" s="199"/>
      <c r="K301" s="199"/>
      <c r="L301" s="199"/>
      <c r="M301" s="199"/>
      <c r="N301" s="94"/>
    </row>
    <row r="302" spans="1:14" ht="15" customHeight="1" outlineLevel="2" x14ac:dyDescent="0.25">
      <c r="A302" s="197"/>
      <c r="B302" s="196"/>
      <c r="C302" s="184" t="s">
        <v>257</v>
      </c>
      <c r="D302" s="93" t="s">
        <v>6</v>
      </c>
      <c r="E302" s="57">
        <f t="shared" si="51"/>
        <v>0</v>
      </c>
      <c r="F302" s="57">
        <f>SUM(F303:F304)</f>
        <v>0</v>
      </c>
      <c r="G302" s="57">
        <f>SUM(G303:G304)</f>
        <v>0</v>
      </c>
      <c r="H302" s="57">
        <f>SUM(H303:H304)</f>
        <v>0</v>
      </c>
      <c r="I302" s="185"/>
      <c r="J302" s="199"/>
      <c r="K302" s="199"/>
      <c r="L302" s="199"/>
      <c r="M302" s="199"/>
      <c r="N302" s="94"/>
    </row>
    <row r="303" spans="1:14" ht="15" customHeight="1" outlineLevel="2" x14ac:dyDescent="0.25">
      <c r="A303" s="197"/>
      <c r="B303" s="196"/>
      <c r="C303" s="185"/>
      <c r="D303" s="96" t="s">
        <v>10</v>
      </c>
      <c r="E303" s="83">
        <f t="shared" si="51"/>
        <v>0</v>
      </c>
      <c r="F303" s="12">
        <v>0</v>
      </c>
      <c r="G303" s="12">
        <v>0</v>
      </c>
      <c r="H303" s="12">
        <v>0</v>
      </c>
      <c r="I303" s="185"/>
      <c r="J303" s="199"/>
      <c r="K303" s="199"/>
      <c r="L303" s="199"/>
      <c r="M303" s="199"/>
      <c r="N303" s="94"/>
    </row>
    <row r="304" spans="1:14" ht="15" customHeight="1" outlineLevel="2" x14ac:dyDescent="0.25">
      <c r="A304" s="197"/>
      <c r="B304" s="196"/>
      <c r="C304" s="186"/>
      <c r="D304" s="96" t="s">
        <v>11</v>
      </c>
      <c r="E304" s="83">
        <f t="shared" si="51"/>
        <v>0</v>
      </c>
      <c r="F304" s="12">
        <v>0</v>
      </c>
      <c r="G304" s="12">
        <v>0</v>
      </c>
      <c r="H304" s="12">
        <f>52570+351150-H301</f>
        <v>0</v>
      </c>
      <c r="I304" s="186"/>
      <c r="J304" s="200"/>
      <c r="K304" s="200"/>
      <c r="L304" s="200"/>
      <c r="M304" s="200"/>
      <c r="N304" s="94"/>
    </row>
    <row r="305" spans="1:14" ht="21" customHeight="1" outlineLevel="2" x14ac:dyDescent="0.25">
      <c r="A305" s="197" t="s">
        <v>117</v>
      </c>
      <c r="B305" s="196" t="s">
        <v>39</v>
      </c>
      <c r="C305" s="184"/>
      <c r="D305" s="93" t="s">
        <v>6</v>
      </c>
      <c r="E305" s="57">
        <f t="shared" si="51"/>
        <v>841432</v>
      </c>
      <c r="F305" s="57">
        <f>SUM(F306:F307)</f>
        <v>541432</v>
      </c>
      <c r="G305" s="57">
        <f>SUM(G306:G307)</f>
        <v>300000</v>
      </c>
      <c r="H305" s="57">
        <f>SUM(H306:H307)</f>
        <v>0</v>
      </c>
      <c r="I305" s="184" t="s">
        <v>88</v>
      </c>
      <c r="J305" s="198" t="s">
        <v>9</v>
      </c>
      <c r="K305" s="198">
        <v>55</v>
      </c>
      <c r="L305" s="198">
        <v>60</v>
      </c>
      <c r="M305" s="198">
        <v>100</v>
      </c>
      <c r="N305" s="94">
        <f>H305-'Апрель)'!H109</f>
        <v>0</v>
      </c>
    </row>
    <row r="306" spans="1:14" ht="21" customHeight="1" outlineLevel="2" x14ac:dyDescent="0.25">
      <c r="A306" s="197"/>
      <c r="B306" s="196"/>
      <c r="C306" s="185"/>
      <c r="D306" s="96" t="s">
        <v>10</v>
      </c>
      <c r="E306" s="83">
        <f t="shared" si="51"/>
        <v>0</v>
      </c>
      <c r="F306" s="12">
        <v>0</v>
      </c>
      <c r="G306" s="12">
        <v>0</v>
      </c>
      <c r="H306" s="12">
        <v>0</v>
      </c>
      <c r="I306" s="185"/>
      <c r="J306" s="199"/>
      <c r="K306" s="199"/>
      <c r="L306" s="199"/>
      <c r="M306" s="199"/>
      <c r="N306" s="94"/>
    </row>
    <row r="307" spans="1:14" ht="21" customHeight="1" outlineLevel="2" x14ac:dyDescent="0.25">
      <c r="A307" s="197"/>
      <c r="B307" s="196"/>
      <c r="C307" s="186"/>
      <c r="D307" s="96" t="s">
        <v>11</v>
      </c>
      <c r="E307" s="83">
        <f t="shared" si="51"/>
        <v>841432</v>
      </c>
      <c r="F307" s="12">
        <v>541432</v>
      </c>
      <c r="G307" s="12">
        <v>300000</v>
      </c>
      <c r="H307" s="12">
        <v>0</v>
      </c>
      <c r="I307" s="185"/>
      <c r="J307" s="199"/>
      <c r="K307" s="199"/>
      <c r="L307" s="199"/>
      <c r="M307" s="199"/>
      <c r="N307" s="94"/>
    </row>
    <row r="308" spans="1:14" ht="24" customHeight="1" outlineLevel="2" x14ac:dyDescent="0.25">
      <c r="A308" s="197"/>
      <c r="B308" s="196"/>
      <c r="C308" s="184" t="s">
        <v>256</v>
      </c>
      <c r="D308" s="93" t="s">
        <v>6</v>
      </c>
      <c r="E308" s="57">
        <f t="shared" si="51"/>
        <v>841432</v>
      </c>
      <c r="F308" s="57">
        <f>SUM(F309:F310)</f>
        <v>541432</v>
      </c>
      <c r="G308" s="57">
        <f>SUM(G309:G310)</f>
        <v>300000</v>
      </c>
      <c r="H308" s="57">
        <f>SUM(H309:H310)</f>
        <v>0</v>
      </c>
      <c r="I308" s="185"/>
      <c r="J308" s="199"/>
      <c r="K308" s="199"/>
      <c r="L308" s="199"/>
      <c r="M308" s="199"/>
      <c r="N308" s="94"/>
    </row>
    <row r="309" spans="1:14" ht="24" customHeight="1" outlineLevel="2" x14ac:dyDescent="0.25">
      <c r="A309" s="197"/>
      <c r="B309" s="196"/>
      <c r="C309" s="185"/>
      <c r="D309" s="96" t="s">
        <v>10</v>
      </c>
      <c r="E309" s="83">
        <f t="shared" si="51"/>
        <v>0</v>
      </c>
      <c r="F309" s="12">
        <v>0</v>
      </c>
      <c r="G309" s="12">
        <v>0</v>
      </c>
      <c r="H309" s="12">
        <v>0</v>
      </c>
      <c r="I309" s="185"/>
      <c r="J309" s="199"/>
      <c r="K309" s="199"/>
      <c r="L309" s="199"/>
      <c r="M309" s="199"/>
      <c r="N309" s="94"/>
    </row>
    <row r="310" spans="1:14" ht="24" customHeight="1" outlineLevel="2" x14ac:dyDescent="0.25">
      <c r="A310" s="197"/>
      <c r="B310" s="196"/>
      <c r="C310" s="186"/>
      <c r="D310" s="96" t="s">
        <v>11</v>
      </c>
      <c r="E310" s="83">
        <f t="shared" si="51"/>
        <v>841432</v>
      </c>
      <c r="F310" s="12">
        <v>541432</v>
      </c>
      <c r="G310" s="12">
        <v>300000</v>
      </c>
      <c r="H310" s="12">
        <v>0</v>
      </c>
      <c r="I310" s="185"/>
      <c r="J310" s="199"/>
      <c r="K310" s="199"/>
      <c r="L310" s="199"/>
      <c r="M310" s="199"/>
      <c r="N310" s="94"/>
    </row>
    <row r="311" spans="1:14" ht="15" customHeight="1" outlineLevel="2" x14ac:dyDescent="0.25">
      <c r="A311" s="197"/>
      <c r="B311" s="196"/>
      <c r="C311" s="184" t="s">
        <v>257</v>
      </c>
      <c r="D311" s="93" t="s">
        <v>6</v>
      </c>
      <c r="E311" s="57">
        <f t="shared" si="51"/>
        <v>0</v>
      </c>
      <c r="F311" s="57">
        <f>SUM(F312:F313)</f>
        <v>0</v>
      </c>
      <c r="G311" s="57">
        <f>SUM(G312:G313)</f>
        <v>0</v>
      </c>
      <c r="H311" s="57">
        <f>SUM(H312:H313)</f>
        <v>0</v>
      </c>
      <c r="I311" s="185"/>
      <c r="J311" s="199"/>
      <c r="K311" s="199"/>
      <c r="L311" s="199"/>
      <c r="M311" s="199"/>
      <c r="N311" s="94"/>
    </row>
    <row r="312" spans="1:14" ht="15" customHeight="1" outlineLevel="2" x14ac:dyDescent="0.25">
      <c r="A312" s="197"/>
      <c r="B312" s="196"/>
      <c r="C312" s="185"/>
      <c r="D312" s="96" t="s">
        <v>10</v>
      </c>
      <c r="E312" s="83">
        <f t="shared" si="51"/>
        <v>0</v>
      </c>
      <c r="F312" s="12">
        <v>0</v>
      </c>
      <c r="G312" s="12">
        <v>0</v>
      </c>
      <c r="H312" s="12">
        <v>0</v>
      </c>
      <c r="I312" s="185"/>
      <c r="J312" s="199"/>
      <c r="K312" s="199"/>
      <c r="L312" s="199"/>
      <c r="M312" s="199"/>
      <c r="N312" s="94"/>
    </row>
    <row r="313" spans="1:14" ht="15" customHeight="1" outlineLevel="2" x14ac:dyDescent="0.25">
      <c r="A313" s="197"/>
      <c r="B313" s="196"/>
      <c r="C313" s="186"/>
      <c r="D313" s="96" t="s">
        <v>11</v>
      </c>
      <c r="E313" s="83">
        <f t="shared" si="51"/>
        <v>0</v>
      </c>
      <c r="F313" s="12">
        <v>0</v>
      </c>
      <c r="G313" s="12">
        <v>0</v>
      </c>
      <c r="H313" s="12">
        <v>0</v>
      </c>
      <c r="I313" s="186"/>
      <c r="J313" s="200"/>
      <c r="K313" s="200"/>
      <c r="L313" s="200"/>
      <c r="M313" s="200"/>
      <c r="N313" s="94"/>
    </row>
    <row r="314" spans="1:14" ht="21" customHeight="1" outlineLevel="2" x14ac:dyDescent="0.25">
      <c r="A314" s="197" t="s">
        <v>118</v>
      </c>
      <c r="B314" s="196" t="s">
        <v>40</v>
      </c>
      <c r="C314" s="184"/>
      <c r="D314" s="93" t="s">
        <v>6</v>
      </c>
      <c r="E314" s="57">
        <f t="shared" si="51"/>
        <v>1848102</v>
      </c>
      <c r="F314" s="57">
        <f>SUM(F315:F316)</f>
        <v>1463200</v>
      </c>
      <c r="G314" s="57">
        <f>SUM(G315:G316)</f>
        <v>0</v>
      </c>
      <c r="H314" s="57">
        <f>SUM(H315:H316)</f>
        <v>384902</v>
      </c>
      <c r="I314" s="184" t="s">
        <v>89</v>
      </c>
      <c r="J314" s="198" t="s">
        <v>9</v>
      </c>
      <c r="K314" s="198">
        <v>95</v>
      </c>
      <c r="L314" s="198">
        <v>95</v>
      </c>
      <c r="M314" s="198">
        <v>96</v>
      </c>
      <c r="N314" s="94">
        <f>H314-'Апрель)'!H112</f>
        <v>0</v>
      </c>
    </row>
    <row r="315" spans="1:14" ht="21" customHeight="1" outlineLevel="2" x14ac:dyDescent="0.25">
      <c r="A315" s="197"/>
      <c r="B315" s="196"/>
      <c r="C315" s="185"/>
      <c r="D315" s="96" t="s">
        <v>10</v>
      </c>
      <c r="E315" s="83">
        <f t="shared" si="51"/>
        <v>0</v>
      </c>
      <c r="F315" s="12">
        <v>0</v>
      </c>
      <c r="G315" s="12">
        <v>0</v>
      </c>
      <c r="H315" s="12">
        <v>0</v>
      </c>
      <c r="I315" s="185"/>
      <c r="J315" s="199"/>
      <c r="K315" s="199"/>
      <c r="L315" s="199"/>
      <c r="M315" s="199"/>
      <c r="N315" s="94"/>
    </row>
    <row r="316" spans="1:14" ht="21" customHeight="1" outlineLevel="2" x14ac:dyDescent="0.25">
      <c r="A316" s="197"/>
      <c r="B316" s="196"/>
      <c r="C316" s="186"/>
      <c r="D316" s="96" t="s">
        <v>11</v>
      </c>
      <c r="E316" s="83">
        <f t="shared" si="51"/>
        <v>1848102</v>
      </c>
      <c r="F316" s="12">
        <v>1463200</v>
      </c>
      <c r="G316" s="12">
        <v>0</v>
      </c>
      <c r="H316" s="12">
        <v>384902</v>
      </c>
      <c r="I316" s="185"/>
      <c r="J316" s="199"/>
      <c r="K316" s="199"/>
      <c r="L316" s="199"/>
      <c r="M316" s="199"/>
      <c r="N316" s="94"/>
    </row>
    <row r="317" spans="1:14" ht="24" customHeight="1" outlineLevel="2" x14ac:dyDescent="0.25">
      <c r="A317" s="197"/>
      <c r="B317" s="196"/>
      <c r="C317" s="184" t="s">
        <v>256</v>
      </c>
      <c r="D317" s="93" t="s">
        <v>6</v>
      </c>
      <c r="E317" s="57">
        <f t="shared" si="51"/>
        <v>1463200</v>
      </c>
      <c r="F317" s="57">
        <f>SUM(F318:F319)</f>
        <v>1463200</v>
      </c>
      <c r="G317" s="57">
        <f>SUM(G318:G319)</f>
        <v>0</v>
      </c>
      <c r="H317" s="57">
        <f>SUM(H318:H319)</f>
        <v>0</v>
      </c>
      <c r="I317" s="185"/>
      <c r="J317" s="199"/>
      <c r="K317" s="199"/>
      <c r="L317" s="199"/>
      <c r="M317" s="199"/>
      <c r="N317" s="94"/>
    </row>
    <row r="318" spans="1:14" ht="24" customHeight="1" outlineLevel="2" x14ac:dyDescent="0.25">
      <c r="A318" s="197"/>
      <c r="B318" s="196"/>
      <c r="C318" s="185"/>
      <c r="D318" s="96" t="s">
        <v>10</v>
      </c>
      <c r="E318" s="83">
        <f t="shared" si="51"/>
        <v>0</v>
      </c>
      <c r="F318" s="12">
        <v>0</v>
      </c>
      <c r="G318" s="12">
        <v>0</v>
      </c>
      <c r="H318" s="12">
        <v>0</v>
      </c>
      <c r="I318" s="185"/>
      <c r="J318" s="199"/>
      <c r="K318" s="199"/>
      <c r="L318" s="199"/>
      <c r="M318" s="199"/>
      <c r="N318" s="94"/>
    </row>
    <row r="319" spans="1:14" ht="24" customHeight="1" outlineLevel="2" x14ac:dyDescent="0.25">
      <c r="A319" s="197"/>
      <c r="B319" s="196"/>
      <c r="C319" s="186"/>
      <c r="D319" s="96" t="s">
        <v>11</v>
      </c>
      <c r="E319" s="83">
        <f t="shared" si="51"/>
        <v>1463200</v>
      </c>
      <c r="F319" s="12">
        <v>1463200</v>
      </c>
      <c r="G319" s="12">
        <v>0</v>
      </c>
      <c r="H319" s="12">
        <v>0</v>
      </c>
      <c r="I319" s="185"/>
      <c r="J319" s="199"/>
      <c r="K319" s="199"/>
      <c r="L319" s="199"/>
      <c r="M319" s="199"/>
      <c r="N319" s="94"/>
    </row>
    <row r="320" spans="1:14" ht="15" customHeight="1" outlineLevel="2" x14ac:dyDescent="0.25">
      <c r="A320" s="197"/>
      <c r="B320" s="196"/>
      <c r="C320" s="184" t="s">
        <v>257</v>
      </c>
      <c r="D320" s="93" t="s">
        <v>6</v>
      </c>
      <c r="E320" s="57">
        <f t="shared" si="51"/>
        <v>384902</v>
      </c>
      <c r="F320" s="57">
        <f>SUM(F321:F322)</f>
        <v>0</v>
      </c>
      <c r="G320" s="57">
        <f>SUM(G321:G322)</f>
        <v>0</v>
      </c>
      <c r="H320" s="57">
        <f>SUM(H321:H322)</f>
        <v>384902</v>
      </c>
      <c r="I320" s="185"/>
      <c r="J320" s="199"/>
      <c r="K320" s="199"/>
      <c r="L320" s="199"/>
      <c r="M320" s="199"/>
      <c r="N320" s="94"/>
    </row>
    <row r="321" spans="1:14" ht="15" customHeight="1" outlineLevel="2" x14ac:dyDescent="0.25">
      <c r="A321" s="197"/>
      <c r="B321" s="196"/>
      <c r="C321" s="185"/>
      <c r="D321" s="96" t="s">
        <v>10</v>
      </c>
      <c r="E321" s="83">
        <f t="shared" si="51"/>
        <v>0</v>
      </c>
      <c r="F321" s="12">
        <v>0</v>
      </c>
      <c r="G321" s="12">
        <v>0</v>
      </c>
      <c r="H321" s="12">
        <v>0</v>
      </c>
      <c r="I321" s="185"/>
      <c r="J321" s="199"/>
      <c r="K321" s="199"/>
      <c r="L321" s="199"/>
      <c r="M321" s="199"/>
      <c r="N321" s="94"/>
    </row>
    <row r="322" spans="1:14" ht="15" customHeight="1" outlineLevel="2" x14ac:dyDescent="0.25">
      <c r="A322" s="197"/>
      <c r="B322" s="196"/>
      <c r="C322" s="186"/>
      <c r="D322" s="96" t="s">
        <v>11</v>
      </c>
      <c r="E322" s="83">
        <f t="shared" si="51"/>
        <v>384902</v>
      </c>
      <c r="F322" s="12">
        <v>0</v>
      </c>
      <c r="G322" s="12">
        <v>0</v>
      </c>
      <c r="H322" s="12">
        <f>384902-H319</f>
        <v>384902</v>
      </c>
      <c r="I322" s="186"/>
      <c r="J322" s="200"/>
      <c r="K322" s="200"/>
      <c r="L322" s="200"/>
      <c r="M322" s="200"/>
      <c r="N322" s="94"/>
    </row>
    <row r="323" spans="1:14" ht="21" customHeight="1" outlineLevel="2" x14ac:dyDescent="0.25">
      <c r="A323" s="197" t="s">
        <v>119</v>
      </c>
      <c r="B323" s="196" t="s">
        <v>126</v>
      </c>
      <c r="C323" s="184"/>
      <c r="D323" s="93" t="s">
        <v>6</v>
      </c>
      <c r="E323" s="57">
        <f t="shared" si="51"/>
        <v>448415.4</v>
      </c>
      <c r="F323" s="57">
        <f>SUM(F324:F325)</f>
        <v>100000</v>
      </c>
      <c r="G323" s="57">
        <f>SUM(G324:G325)</f>
        <v>201050</v>
      </c>
      <c r="H323" s="57">
        <f>SUM(H324:H325)</f>
        <v>147365.4</v>
      </c>
      <c r="I323" s="184" t="s">
        <v>90</v>
      </c>
      <c r="J323" s="198" t="s">
        <v>9</v>
      </c>
      <c r="K323" s="198">
        <v>95</v>
      </c>
      <c r="L323" s="198">
        <v>97</v>
      </c>
      <c r="M323" s="198">
        <v>100</v>
      </c>
      <c r="N323" s="94">
        <f>H323-'Апрель)'!H115</f>
        <v>44700</v>
      </c>
    </row>
    <row r="324" spans="1:14" ht="21" customHeight="1" outlineLevel="2" x14ac:dyDescent="0.25">
      <c r="A324" s="197"/>
      <c r="B324" s="196"/>
      <c r="C324" s="185"/>
      <c r="D324" s="96" t="s">
        <v>10</v>
      </c>
      <c r="E324" s="83">
        <f t="shared" ref="E324:E355" si="52">SUM(F324:H324)</f>
        <v>0</v>
      </c>
      <c r="F324" s="12">
        <v>0</v>
      </c>
      <c r="G324" s="12">
        <v>0</v>
      </c>
      <c r="H324" s="12">
        <v>0</v>
      </c>
      <c r="I324" s="185"/>
      <c r="J324" s="199"/>
      <c r="K324" s="199"/>
      <c r="L324" s="199"/>
      <c r="M324" s="199"/>
      <c r="N324" s="94"/>
    </row>
    <row r="325" spans="1:14" ht="21" customHeight="1" outlineLevel="2" x14ac:dyDescent="0.25">
      <c r="A325" s="197"/>
      <c r="B325" s="196"/>
      <c r="C325" s="186"/>
      <c r="D325" s="96" t="s">
        <v>11</v>
      </c>
      <c r="E325" s="83">
        <f t="shared" si="52"/>
        <v>448415.4</v>
      </c>
      <c r="F325" s="12">
        <v>100000</v>
      </c>
      <c r="G325" s="12">
        <f>27000+174050</f>
        <v>201050</v>
      </c>
      <c r="H325" s="12">
        <f>102665.4+44700</f>
        <v>147365.4</v>
      </c>
      <c r="I325" s="185"/>
      <c r="J325" s="199"/>
      <c r="K325" s="199"/>
      <c r="L325" s="199"/>
      <c r="M325" s="199"/>
      <c r="N325" s="94"/>
    </row>
    <row r="326" spans="1:14" ht="24" customHeight="1" outlineLevel="2" x14ac:dyDescent="0.25">
      <c r="A326" s="197"/>
      <c r="B326" s="196"/>
      <c r="C326" s="184" t="s">
        <v>256</v>
      </c>
      <c r="D326" s="93" t="s">
        <v>6</v>
      </c>
      <c r="E326" s="57">
        <f t="shared" si="52"/>
        <v>345750</v>
      </c>
      <c r="F326" s="57">
        <f>SUM(F327:F328)</f>
        <v>100000</v>
      </c>
      <c r="G326" s="57">
        <f>SUM(G327:G328)</f>
        <v>201050</v>
      </c>
      <c r="H326" s="57">
        <f>SUM(H327:H328)</f>
        <v>44700</v>
      </c>
      <c r="I326" s="185"/>
      <c r="J326" s="199"/>
      <c r="K326" s="199"/>
      <c r="L326" s="199"/>
      <c r="M326" s="199"/>
      <c r="N326" s="94"/>
    </row>
    <row r="327" spans="1:14" ht="24" customHeight="1" outlineLevel="2" x14ac:dyDescent="0.25">
      <c r="A327" s="197"/>
      <c r="B327" s="196"/>
      <c r="C327" s="185"/>
      <c r="D327" s="96" t="s">
        <v>10</v>
      </c>
      <c r="E327" s="83">
        <f t="shared" si="52"/>
        <v>0</v>
      </c>
      <c r="F327" s="12">
        <v>0</v>
      </c>
      <c r="G327" s="12">
        <v>0</v>
      </c>
      <c r="H327" s="12">
        <v>0</v>
      </c>
      <c r="I327" s="185"/>
      <c r="J327" s="199"/>
      <c r="K327" s="199"/>
      <c r="L327" s="199"/>
      <c r="M327" s="199"/>
      <c r="N327" s="94"/>
    </row>
    <row r="328" spans="1:14" ht="24" customHeight="1" outlineLevel="2" x14ac:dyDescent="0.25">
      <c r="A328" s="197"/>
      <c r="B328" s="196"/>
      <c r="C328" s="186"/>
      <c r="D328" s="96" t="s">
        <v>11</v>
      </c>
      <c r="E328" s="83">
        <f t="shared" si="52"/>
        <v>345750</v>
      </c>
      <c r="F328" s="12">
        <v>100000</v>
      </c>
      <c r="G328" s="12">
        <f>27000+174050</f>
        <v>201050</v>
      </c>
      <c r="H328" s="12">
        <v>44700</v>
      </c>
      <c r="I328" s="185"/>
      <c r="J328" s="199"/>
      <c r="K328" s="199"/>
      <c r="L328" s="199"/>
      <c r="M328" s="199"/>
      <c r="N328" s="94"/>
    </row>
    <row r="329" spans="1:14" ht="15" customHeight="1" outlineLevel="2" x14ac:dyDescent="0.25">
      <c r="A329" s="197"/>
      <c r="B329" s="196"/>
      <c r="C329" s="184" t="s">
        <v>257</v>
      </c>
      <c r="D329" s="93" t="s">
        <v>6</v>
      </c>
      <c r="E329" s="57">
        <f t="shared" si="52"/>
        <v>102665.4</v>
      </c>
      <c r="F329" s="57">
        <f>SUM(F330:F331)</f>
        <v>0</v>
      </c>
      <c r="G329" s="57">
        <f>SUM(G330:G331)</f>
        <v>0</v>
      </c>
      <c r="H329" s="57">
        <f>SUM(H330:H331)</f>
        <v>102665.4</v>
      </c>
      <c r="I329" s="185"/>
      <c r="J329" s="199"/>
      <c r="K329" s="199"/>
      <c r="L329" s="199"/>
      <c r="M329" s="199"/>
      <c r="N329" s="94"/>
    </row>
    <row r="330" spans="1:14" ht="15" customHeight="1" outlineLevel="2" x14ac:dyDescent="0.25">
      <c r="A330" s="197"/>
      <c r="B330" s="196"/>
      <c r="C330" s="185"/>
      <c r="D330" s="96" t="s">
        <v>10</v>
      </c>
      <c r="E330" s="83">
        <f t="shared" si="52"/>
        <v>0</v>
      </c>
      <c r="F330" s="12">
        <v>0</v>
      </c>
      <c r="G330" s="12">
        <v>0</v>
      </c>
      <c r="H330" s="12">
        <v>0</v>
      </c>
      <c r="I330" s="185"/>
      <c r="J330" s="199"/>
      <c r="K330" s="199"/>
      <c r="L330" s="199"/>
      <c r="M330" s="199"/>
      <c r="N330" s="94"/>
    </row>
    <row r="331" spans="1:14" ht="15" customHeight="1" outlineLevel="2" x14ac:dyDescent="0.25">
      <c r="A331" s="197"/>
      <c r="B331" s="196"/>
      <c r="C331" s="186"/>
      <c r="D331" s="96" t="s">
        <v>11</v>
      </c>
      <c r="E331" s="83">
        <f t="shared" si="52"/>
        <v>102665.4</v>
      </c>
      <c r="F331" s="12">
        <v>0</v>
      </c>
      <c r="G331" s="12">
        <v>0</v>
      </c>
      <c r="H331" s="12">
        <f>102665.4+44700-H328</f>
        <v>102665.4</v>
      </c>
      <c r="I331" s="186"/>
      <c r="J331" s="200"/>
      <c r="K331" s="200"/>
      <c r="L331" s="200"/>
      <c r="M331" s="200"/>
      <c r="N331" s="94"/>
    </row>
    <row r="332" spans="1:14" ht="21" customHeight="1" outlineLevel="2" x14ac:dyDescent="0.25">
      <c r="A332" s="197" t="s">
        <v>120</v>
      </c>
      <c r="B332" s="196" t="s">
        <v>127</v>
      </c>
      <c r="C332" s="184"/>
      <c r="D332" s="93" t="s">
        <v>6</v>
      </c>
      <c r="E332" s="57">
        <f t="shared" si="52"/>
        <v>6511460</v>
      </c>
      <c r="F332" s="57">
        <f>SUM(F333:F334)</f>
        <v>740166</v>
      </c>
      <c r="G332" s="57">
        <f>SUM(G333:G334)</f>
        <v>199999</v>
      </c>
      <c r="H332" s="57">
        <v>5571295</v>
      </c>
      <c r="I332" s="184" t="s">
        <v>128</v>
      </c>
      <c r="J332" s="198" t="s">
        <v>9</v>
      </c>
      <c r="K332" s="198">
        <v>90</v>
      </c>
      <c r="L332" s="198">
        <v>95</v>
      </c>
      <c r="M332" s="198">
        <v>97</v>
      </c>
      <c r="N332" s="94">
        <f>H332-'Апрель)'!H118</f>
        <v>5280955</v>
      </c>
    </row>
    <row r="333" spans="1:14" ht="21" customHeight="1" outlineLevel="2" x14ac:dyDescent="0.25">
      <c r="A333" s="197"/>
      <c r="B333" s="196"/>
      <c r="C333" s="185"/>
      <c r="D333" s="96" t="s">
        <v>10</v>
      </c>
      <c r="E333" s="83">
        <f t="shared" si="52"/>
        <v>0</v>
      </c>
      <c r="F333" s="12">
        <v>0</v>
      </c>
      <c r="G333" s="12">
        <v>0</v>
      </c>
      <c r="H333" s="12">
        <v>0</v>
      </c>
      <c r="I333" s="185"/>
      <c r="J333" s="199"/>
      <c r="K333" s="199"/>
      <c r="L333" s="199"/>
      <c r="M333" s="199"/>
      <c r="N333" s="94"/>
    </row>
    <row r="334" spans="1:14" ht="21" customHeight="1" outlineLevel="2" x14ac:dyDescent="0.25">
      <c r="A334" s="197"/>
      <c r="B334" s="196"/>
      <c r="C334" s="186"/>
      <c r="D334" s="96" t="s">
        <v>11</v>
      </c>
      <c r="E334" s="83">
        <f t="shared" si="52"/>
        <v>6511460</v>
      </c>
      <c r="F334" s="12">
        <v>740166</v>
      </c>
      <c r="G334" s="12">
        <f>200000-1</f>
        <v>199999</v>
      </c>
      <c r="H334" s="12">
        <f>3600985+101770+1868540</f>
        <v>5571295</v>
      </c>
      <c r="I334" s="185"/>
      <c r="J334" s="199"/>
      <c r="K334" s="199"/>
      <c r="L334" s="199"/>
      <c r="M334" s="199"/>
      <c r="N334" s="94"/>
    </row>
    <row r="335" spans="1:14" ht="24" customHeight="1" outlineLevel="2" x14ac:dyDescent="0.25">
      <c r="A335" s="197"/>
      <c r="B335" s="196"/>
      <c r="C335" s="184" t="s">
        <v>256</v>
      </c>
      <c r="D335" s="93" t="s">
        <v>6</v>
      </c>
      <c r="E335" s="57">
        <f t="shared" si="52"/>
        <v>6511460</v>
      </c>
      <c r="F335" s="57">
        <f>SUM(F336:F337)</f>
        <v>740166</v>
      </c>
      <c r="G335" s="57">
        <f>SUM(G336:G337)</f>
        <v>199999</v>
      </c>
      <c r="H335" s="57">
        <v>5571295</v>
      </c>
      <c r="I335" s="185"/>
      <c r="J335" s="199"/>
      <c r="K335" s="199"/>
      <c r="L335" s="199"/>
      <c r="M335" s="199"/>
      <c r="N335" s="94"/>
    </row>
    <row r="336" spans="1:14" ht="24" customHeight="1" outlineLevel="2" x14ac:dyDescent="0.25">
      <c r="A336" s="197"/>
      <c r="B336" s="196"/>
      <c r="C336" s="185"/>
      <c r="D336" s="96" t="s">
        <v>10</v>
      </c>
      <c r="E336" s="83">
        <f t="shared" si="52"/>
        <v>0</v>
      </c>
      <c r="F336" s="12">
        <v>0</v>
      </c>
      <c r="G336" s="12">
        <v>0</v>
      </c>
      <c r="H336" s="12">
        <v>0</v>
      </c>
      <c r="I336" s="185"/>
      <c r="J336" s="199"/>
      <c r="K336" s="199"/>
      <c r="L336" s="199"/>
      <c r="M336" s="199"/>
      <c r="N336" s="94"/>
    </row>
    <row r="337" spans="1:14" ht="24" customHeight="1" outlineLevel="2" x14ac:dyDescent="0.25">
      <c r="A337" s="197"/>
      <c r="B337" s="196"/>
      <c r="C337" s="186"/>
      <c r="D337" s="96" t="s">
        <v>11</v>
      </c>
      <c r="E337" s="83">
        <f t="shared" si="52"/>
        <v>6443725</v>
      </c>
      <c r="F337" s="12">
        <v>740166</v>
      </c>
      <c r="G337" s="12">
        <f>200000-1</f>
        <v>199999</v>
      </c>
      <c r="H337" s="12">
        <f>3600985+101770+1868540-67735</f>
        <v>5503560</v>
      </c>
      <c r="I337" s="185"/>
      <c r="J337" s="199"/>
      <c r="K337" s="199"/>
      <c r="L337" s="199"/>
      <c r="M337" s="199"/>
      <c r="N337" s="94"/>
    </row>
    <row r="338" spans="1:14" ht="15" customHeight="1" outlineLevel="2" x14ac:dyDescent="0.25">
      <c r="A338" s="197"/>
      <c r="B338" s="196"/>
      <c r="C338" s="184" t="s">
        <v>257</v>
      </c>
      <c r="D338" s="93" t="s">
        <v>6</v>
      </c>
      <c r="E338" s="57">
        <f t="shared" si="52"/>
        <v>67735</v>
      </c>
      <c r="F338" s="57">
        <f>SUM(F339:F340)</f>
        <v>0</v>
      </c>
      <c r="G338" s="57">
        <f>SUM(G339:G340)</f>
        <v>0</v>
      </c>
      <c r="H338" s="57">
        <f>SUM(H339:H340)</f>
        <v>67735</v>
      </c>
      <c r="I338" s="185"/>
      <c r="J338" s="199"/>
      <c r="K338" s="199"/>
      <c r="L338" s="199"/>
      <c r="M338" s="199"/>
      <c r="N338" s="94"/>
    </row>
    <row r="339" spans="1:14" ht="15" customHeight="1" outlineLevel="2" x14ac:dyDescent="0.25">
      <c r="A339" s="197"/>
      <c r="B339" s="196"/>
      <c r="C339" s="185"/>
      <c r="D339" s="96" t="s">
        <v>10</v>
      </c>
      <c r="E339" s="83">
        <f t="shared" si="52"/>
        <v>0</v>
      </c>
      <c r="F339" s="12">
        <v>0</v>
      </c>
      <c r="G339" s="12">
        <v>0</v>
      </c>
      <c r="H339" s="12">
        <v>0</v>
      </c>
      <c r="I339" s="185"/>
      <c r="J339" s="199"/>
      <c r="K339" s="199"/>
      <c r="L339" s="199"/>
      <c r="M339" s="199"/>
      <c r="N339" s="94"/>
    </row>
    <row r="340" spans="1:14" ht="15" customHeight="1" outlineLevel="2" x14ac:dyDescent="0.25">
      <c r="A340" s="197"/>
      <c r="B340" s="196"/>
      <c r="C340" s="186"/>
      <c r="D340" s="96" t="s">
        <v>11</v>
      </c>
      <c r="E340" s="83">
        <f t="shared" si="52"/>
        <v>67735</v>
      </c>
      <c r="F340" s="12">
        <v>0</v>
      </c>
      <c r="G340" s="12">
        <v>0</v>
      </c>
      <c r="H340" s="12">
        <f>3600985+101770+1868540-H337</f>
        <v>67735</v>
      </c>
      <c r="I340" s="186"/>
      <c r="J340" s="200"/>
      <c r="K340" s="200"/>
      <c r="L340" s="200"/>
      <c r="M340" s="200"/>
      <c r="N340" s="94"/>
    </row>
    <row r="341" spans="1:14" ht="21" customHeight="1" outlineLevel="2" x14ac:dyDescent="0.25">
      <c r="A341" s="197" t="s">
        <v>121</v>
      </c>
      <c r="B341" s="196" t="s">
        <v>70</v>
      </c>
      <c r="C341" s="184"/>
      <c r="D341" s="93" t="s">
        <v>6</v>
      </c>
      <c r="E341" s="57">
        <f t="shared" si="52"/>
        <v>1378400</v>
      </c>
      <c r="F341" s="57">
        <f>SUM(F342:F343)</f>
        <v>1378400</v>
      </c>
      <c r="G341" s="57">
        <f>SUM(G342:G343)</f>
        <v>0</v>
      </c>
      <c r="H341" s="57">
        <f>SUM(H342:H343)</f>
        <v>0</v>
      </c>
      <c r="I341" s="184" t="s">
        <v>91</v>
      </c>
      <c r="J341" s="198" t="s">
        <v>9</v>
      </c>
      <c r="K341" s="198">
        <v>100</v>
      </c>
      <c r="L341" s="198" t="s">
        <v>93</v>
      </c>
      <c r="M341" s="217" t="s">
        <v>93</v>
      </c>
      <c r="N341" s="94">
        <f>H341-'Апрель)'!H121</f>
        <v>0</v>
      </c>
    </row>
    <row r="342" spans="1:14" ht="21" customHeight="1" outlineLevel="2" x14ac:dyDescent="0.25">
      <c r="A342" s="197"/>
      <c r="B342" s="196"/>
      <c r="C342" s="185"/>
      <c r="D342" s="96" t="s">
        <v>10</v>
      </c>
      <c r="E342" s="83">
        <f t="shared" si="52"/>
        <v>0</v>
      </c>
      <c r="F342" s="12">
        <v>0</v>
      </c>
      <c r="G342" s="12">
        <v>0</v>
      </c>
      <c r="H342" s="12">
        <v>0</v>
      </c>
      <c r="I342" s="185"/>
      <c r="J342" s="199"/>
      <c r="K342" s="199"/>
      <c r="L342" s="199"/>
      <c r="M342" s="218"/>
      <c r="N342" s="94"/>
    </row>
    <row r="343" spans="1:14" ht="21" customHeight="1" outlineLevel="2" x14ac:dyDescent="0.25">
      <c r="A343" s="197"/>
      <c r="B343" s="196"/>
      <c r="C343" s="186"/>
      <c r="D343" s="96" t="s">
        <v>11</v>
      </c>
      <c r="E343" s="83">
        <f t="shared" si="52"/>
        <v>1378400</v>
      </c>
      <c r="F343" s="12">
        <v>1378400</v>
      </c>
      <c r="G343" s="12">
        <v>0</v>
      </c>
      <c r="H343" s="12">
        <v>0</v>
      </c>
      <c r="I343" s="185"/>
      <c r="J343" s="199"/>
      <c r="K343" s="199"/>
      <c r="L343" s="199"/>
      <c r="M343" s="218"/>
      <c r="N343" s="94"/>
    </row>
    <row r="344" spans="1:14" ht="24" customHeight="1" outlineLevel="2" x14ac:dyDescent="0.25">
      <c r="A344" s="197"/>
      <c r="B344" s="196"/>
      <c r="C344" s="184" t="s">
        <v>256</v>
      </c>
      <c r="D344" s="93" t="s">
        <v>6</v>
      </c>
      <c r="E344" s="57">
        <f t="shared" si="52"/>
        <v>1378400</v>
      </c>
      <c r="F344" s="57">
        <f>SUM(F345:F346)</f>
        <v>1378400</v>
      </c>
      <c r="G344" s="57">
        <f>SUM(G345:G346)</f>
        <v>0</v>
      </c>
      <c r="H344" s="57">
        <f>SUM(H345:H346)</f>
        <v>0</v>
      </c>
      <c r="I344" s="185"/>
      <c r="J344" s="199"/>
      <c r="K344" s="199"/>
      <c r="L344" s="199"/>
      <c r="M344" s="218"/>
      <c r="N344" s="94"/>
    </row>
    <row r="345" spans="1:14" ht="24" customHeight="1" outlineLevel="2" x14ac:dyDescent="0.25">
      <c r="A345" s="197"/>
      <c r="B345" s="196"/>
      <c r="C345" s="185"/>
      <c r="D345" s="96" t="s">
        <v>10</v>
      </c>
      <c r="E345" s="83">
        <f t="shared" si="52"/>
        <v>0</v>
      </c>
      <c r="F345" s="12">
        <v>0</v>
      </c>
      <c r="G345" s="12">
        <v>0</v>
      </c>
      <c r="H345" s="12">
        <v>0</v>
      </c>
      <c r="I345" s="185"/>
      <c r="J345" s="199"/>
      <c r="K345" s="199"/>
      <c r="L345" s="199"/>
      <c r="M345" s="218"/>
      <c r="N345" s="94"/>
    </row>
    <row r="346" spans="1:14" ht="24" customHeight="1" outlineLevel="2" x14ac:dyDescent="0.25">
      <c r="A346" s="197"/>
      <c r="B346" s="196"/>
      <c r="C346" s="186"/>
      <c r="D346" s="96" t="s">
        <v>11</v>
      </c>
      <c r="E346" s="83">
        <f t="shared" si="52"/>
        <v>1378400</v>
      </c>
      <c r="F346" s="12">
        <v>1378400</v>
      </c>
      <c r="G346" s="12">
        <v>0</v>
      </c>
      <c r="H346" s="12">
        <v>0</v>
      </c>
      <c r="I346" s="185"/>
      <c r="J346" s="199"/>
      <c r="K346" s="199"/>
      <c r="L346" s="199"/>
      <c r="M346" s="218"/>
      <c r="N346" s="94"/>
    </row>
    <row r="347" spans="1:14" ht="15" customHeight="1" outlineLevel="2" x14ac:dyDescent="0.25">
      <c r="A347" s="197"/>
      <c r="B347" s="196"/>
      <c r="C347" s="184" t="s">
        <v>257</v>
      </c>
      <c r="D347" s="93" t="s">
        <v>6</v>
      </c>
      <c r="E347" s="57">
        <f t="shared" si="52"/>
        <v>0</v>
      </c>
      <c r="F347" s="57">
        <f>SUM(F348:F349)</f>
        <v>0</v>
      </c>
      <c r="G347" s="57">
        <f>SUM(G348:G349)</f>
        <v>0</v>
      </c>
      <c r="H347" s="57">
        <f>SUM(H348:H349)</f>
        <v>0</v>
      </c>
      <c r="I347" s="185"/>
      <c r="J347" s="199"/>
      <c r="K347" s="199"/>
      <c r="L347" s="199"/>
      <c r="M347" s="218"/>
      <c r="N347" s="94"/>
    </row>
    <row r="348" spans="1:14" ht="15" customHeight="1" outlineLevel="2" x14ac:dyDescent="0.25">
      <c r="A348" s="197"/>
      <c r="B348" s="196"/>
      <c r="C348" s="185"/>
      <c r="D348" s="96" t="s">
        <v>10</v>
      </c>
      <c r="E348" s="83">
        <f t="shared" si="52"/>
        <v>0</v>
      </c>
      <c r="F348" s="12">
        <v>0</v>
      </c>
      <c r="G348" s="12">
        <v>0</v>
      </c>
      <c r="H348" s="12">
        <v>0</v>
      </c>
      <c r="I348" s="185"/>
      <c r="J348" s="199"/>
      <c r="K348" s="199"/>
      <c r="L348" s="199"/>
      <c r="M348" s="218"/>
      <c r="N348" s="94"/>
    </row>
    <row r="349" spans="1:14" ht="15" customHeight="1" outlineLevel="2" x14ac:dyDescent="0.25">
      <c r="A349" s="197"/>
      <c r="B349" s="196"/>
      <c r="C349" s="186"/>
      <c r="D349" s="96" t="s">
        <v>11</v>
      </c>
      <c r="E349" s="83">
        <f t="shared" si="52"/>
        <v>0</v>
      </c>
      <c r="F349" s="12">
        <v>0</v>
      </c>
      <c r="G349" s="12">
        <v>0</v>
      </c>
      <c r="H349" s="12">
        <v>0</v>
      </c>
      <c r="I349" s="186"/>
      <c r="J349" s="200"/>
      <c r="K349" s="200"/>
      <c r="L349" s="200"/>
      <c r="M349" s="219"/>
      <c r="N349" s="94"/>
    </row>
    <row r="350" spans="1:14" ht="21" customHeight="1" outlineLevel="2" x14ac:dyDescent="0.25">
      <c r="A350" s="197" t="s">
        <v>122</v>
      </c>
      <c r="B350" s="196" t="s">
        <v>41</v>
      </c>
      <c r="C350" s="184"/>
      <c r="D350" s="93" t="s">
        <v>6</v>
      </c>
      <c r="E350" s="57">
        <f t="shared" si="52"/>
        <v>1057561.6000000001</v>
      </c>
      <c r="F350" s="57">
        <f>SUM(F351:F352)</f>
        <v>0</v>
      </c>
      <c r="G350" s="57">
        <f>SUM(G351:G352)</f>
        <v>1057561.6000000001</v>
      </c>
      <c r="H350" s="57">
        <f>SUM(H351:H352)</f>
        <v>0</v>
      </c>
      <c r="I350" s="184" t="s">
        <v>92</v>
      </c>
      <c r="J350" s="198" t="s">
        <v>9</v>
      </c>
      <c r="K350" s="198" t="s">
        <v>93</v>
      </c>
      <c r="L350" s="198">
        <v>15</v>
      </c>
      <c r="M350" s="198">
        <v>15</v>
      </c>
      <c r="N350" s="94">
        <f>H350-'Апрель)'!H124</f>
        <v>0</v>
      </c>
    </row>
    <row r="351" spans="1:14" ht="21" customHeight="1" outlineLevel="2" x14ac:dyDescent="0.25">
      <c r="A351" s="197"/>
      <c r="B351" s="196"/>
      <c r="C351" s="185"/>
      <c r="D351" s="96" t="s">
        <v>10</v>
      </c>
      <c r="E351" s="83">
        <f t="shared" si="52"/>
        <v>0</v>
      </c>
      <c r="F351" s="12">
        <v>0</v>
      </c>
      <c r="G351" s="12">
        <v>0</v>
      </c>
      <c r="H351" s="12">
        <v>0</v>
      </c>
      <c r="I351" s="185"/>
      <c r="J351" s="199"/>
      <c r="K351" s="199"/>
      <c r="L351" s="199"/>
      <c r="M351" s="199"/>
      <c r="N351" s="94"/>
    </row>
    <row r="352" spans="1:14" ht="21" customHeight="1" outlineLevel="2" x14ac:dyDescent="0.25">
      <c r="A352" s="197"/>
      <c r="B352" s="196"/>
      <c r="C352" s="186"/>
      <c r="D352" s="96" t="s">
        <v>11</v>
      </c>
      <c r="E352" s="83">
        <f t="shared" si="52"/>
        <v>1057561.6000000001</v>
      </c>
      <c r="F352" s="12">
        <v>0</v>
      </c>
      <c r="G352" s="12">
        <f>1057570-8.4</f>
        <v>1057561.6000000001</v>
      </c>
      <c r="H352" s="12">
        <v>0</v>
      </c>
      <c r="I352" s="185"/>
      <c r="J352" s="199"/>
      <c r="K352" s="199"/>
      <c r="L352" s="199"/>
      <c r="M352" s="199"/>
      <c r="N352" s="94"/>
    </row>
    <row r="353" spans="1:14" ht="24" customHeight="1" outlineLevel="2" x14ac:dyDescent="0.25">
      <c r="A353" s="197"/>
      <c r="B353" s="196"/>
      <c r="C353" s="184" t="s">
        <v>256</v>
      </c>
      <c r="D353" s="93" t="s">
        <v>6</v>
      </c>
      <c r="E353" s="57">
        <f t="shared" si="52"/>
        <v>1057561.6000000001</v>
      </c>
      <c r="F353" s="57">
        <f>SUM(F354:F355)</f>
        <v>0</v>
      </c>
      <c r="G353" s="57">
        <f>SUM(G354:G355)</f>
        <v>1057561.6000000001</v>
      </c>
      <c r="H353" s="57">
        <f>SUM(H354:H355)</f>
        <v>0</v>
      </c>
      <c r="I353" s="185"/>
      <c r="J353" s="199"/>
      <c r="K353" s="199"/>
      <c r="L353" s="199"/>
      <c r="M353" s="199"/>
      <c r="N353" s="94"/>
    </row>
    <row r="354" spans="1:14" ht="24" customHeight="1" outlineLevel="2" x14ac:dyDescent="0.25">
      <c r="A354" s="197"/>
      <c r="B354" s="196"/>
      <c r="C354" s="185"/>
      <c r="D354" s="96" t="s">
        <v>10</v>
      </c>
      <c r="E354" s="83">
        <f t="shared" si="52"/>
        <v>0</v>
      </c>
      <c r="F354" s="12">
        <v>0</v>
      </c>
      <c r="G354" s="12">
        <v>0</v>
      </c>
      <c r="H354" s="12">
        <v>0</v>
      </c>
      <c r="I354" s="185"/>
      <c r="J354" s="199"/>
      <c r="K354" s="199"/>
      <c r="L354" s="199"/>
      <c r="M354" s="199"/>
      <c r="N354" s="94"/>
    </row>
    <row r="355" spans="1:14" ht="24" customHeight="1" outlineLevel="2" x14ac:dyDescent="0.25">
      <c r="A355" s="197"/>
      <c r="B355" s="196"/>
      <c r="C355" s="186"/>
      <c r="D355" s="96" t="s">
        <v>11</v>
      </c>
      <c r="E355" s="83">
        <f t="shared" si="52"/>
        <v>1057561.6000000001</v>
      </c>
      <c r="F355" s="12">
        <v>0</v>
      </c>
      <c r="G355" s="12">
        <f>1057570-8.4</f>
        <v>1057561.6000000001</v>
      </c>
      <c r="H355" s="12">
        <v>0</v>
      </c>
      <c r="I355" s="185"/>
      <c r="J355" s="199"/>
      <c r="K355" s="199"/>
      <c r="L355" s="199"/>
      <c r="M355" s="199"/>
      <c r="N355" s="94"/>
    </row>
    <row r="356" spans="1:14" ht="15" customHeight="1" outlineLevel="2" x14ac:dyDescent="0.25">
      <c r="A356" s="197"/>
      <c r="B356" s="196"/>
      <c r="C356" s="184" t="s">
        <v>257</v>
      </c>
      <c r="D356" s="93" t="s">
        <v>6</v>
      </c>
      <c r="E356" s="57">
        <f t="shared" ref="E356:E376" si="53">SUM(F356:H356)</f>
        <v>0</v>
      </c>
      <c r="F356" s="57">
        <f>SUM(F357:F358)</f>
        <v>0</v>
      </c>
      <c r="G356" s="57">
        <f>SUM(G357:G358)</f>
        <v>0</v>
      </c>
      <c r="H356" s="57">
        <f>SUM(H357:H358)</f>
        <v>0</v>
      </c>
      <c r="I356" s="185"/>
      <c r="J356" s="199"/>
      <c r="K356" s="199"/>
      <c r="L356" s="199"/>
      <c r="M356" s="199"/>
      <c r="N356" s="94"/>
    </row>
    <row r="357" spans="1:14" ht="15" customHeight="1" outlineLevel="2" x14ac:dyDescent="0.25">
      <c r="A357" s="197"/>
      <c r="B357" s="196"/>
      <c r="C357" s="185"/>
      <c r="D357" s="96" t="s">
        <v>10</v>
      </c>
      <c r="E357" s="83">
        <f t="shared" si="53"/>
        <v>0</v>
      </c>
      <c r="F357" s="12">
        <v>0</v>
      </c>
      <c r="G357" s="12">
        <v>0</v>
      </c>
      <c r="H357" s="12">
        <v>0</v>
      </c>
      <c r="I357" s="185"/>
      <c r="J357" s="199"/>
      <c r="K357" s="199"/>
      <c r="L357" s="199"/>
      <c r="M357" s="199"/>
      <c r="N357" s="94"/>
    </row>
    <row r="358" spans="1:14" ht="15" customHeight="1" outlineLevel="2" x14ac:dyDescent="0.25">
      <c r="A358" s="197"/>
      <c r="B358" s="196"/>
      <c r="C358" s="186"/>
      <c r="D358" s="96" t="s">
        <v>11</v>
      </c>
      <c r="E358" s="83">
        <f t="shared" si="53"/>
        <v>0</v>
      </c>
      <c r="F358" s="12">
        <v>0</v>
      </c>
      <c r="G358" s="12">
        <v>0</v>
      </c>
      <c r="H358" s="12">
        <v>0</v>
      </c>
      <c r="I358" s="186"/>
      <c r="J358" s="200"/>
      <c r="K358" s="200"/>
      <c r="L358" s="200"/>
      <c r="M358" s="200"/>
      <c r="N358" s="94"/>
    </row>
    <row r="359" spans="1:14" ht="21" customHeight="1" outlineLevel="2" x14ac:dyDescent="0.25">
      <c r="A359" s="197" t="s">
        <v>123</v>
      </c>
      <c r="B359" s="196" t="s">
        <v>42</v>
      </c>
      <c r="C359" s="184"/>
      <c r="D359" s="93" t="s">
        <v>6</v>
      </c>
      <c r="E359" s="57">
        <f t="shared" si="53"/>
        <v>4733432.76</v>
      </c>
      <c r="F359" s="57">
        <f>SUM(F360:F361)</f>
        <v>0</v>
      </c>
      <c r="G359" s="57">
        <f>SUM(G360:G361)</f>
        <v>747416.4</v>
      </c>
      <c r="H359" s="57">
        <v>3986016.36</v>
      </c>
      <c r="I359" s="184" t="s">
        <v>94</v>
      </c>
      <c r="J359" s="198" t="s">
        <v>9</v>
      </c>
      <c r="K359" s="198" t="s">
        <v>93</v>
      </c>
      <c r="L359" s="198">
        <v>20</v>
      </c>
      <c r="M359" s="198">
        <v>16.600000000000001</v>
      </c>
      <c r="N359" s="94">
        <f>H359-'Апрель)'!H127</f>
        <v>3472295</v>
      </c>
    </row>
    <row r="360" spans="1:14" ht="21" customHeight="1" outlineLevel="2" x14ac:dyDescent="0.25">
      <c r="A360" s="197"/>
      <c r="B360" s="196"/>
      <c r="C360" s="185"/>
      <c r="D360" s="96" t="s">
        <v>10</v>
      </c>
      <c r="E360" s="83">
        <f t="shared" si="53"/>
        <v>0</v>
      </c>
      <c r="F360" s="12">
        <v>0</v>
      </c>
      <c r="G360" s="12">
        <v>0</v>
      </c>
      <c r="H360" s="12">
        <v>0</v>
      </c>
      <c r="I360" s="185"/>
      <c r="J360" s="199"/>
      <c r="K360" s="199"/>
      <c r="L360" s="199"/>
      <c r="M360" s="199"/>
      <c r="N360" s="94"/>
    </row>
    <row r="361" spans="1:14" ht="21" customHeight="1" outlineLevel="2" x14ac:dyDescent="0.25">
      <c r="A361" s="197"/>
      <c r="B361" s="196"/>
      <c r="C361" s="186"/>
      <c r="D361" s="96" t="s">
        <v>11</v>
      </c>
      <c r="E361" s="83">
        <f t="shared" si="53"/>
        <v>4733432.76</v>
      </c>
      <c r="F361" s="12">
        <v>0</v>
      </c>
      <c r="G361" s="12">
        <f>707220+40196.4</f>
        <v>747416.4</v>
      </c>
      <c r="H361" s="12">
        <v>3986016.36</v>
      </c>
      <c r="I361" s="185"/>
      <c r="J361" s="199"/>
      <c r="K361" s="199"/>
      <c r="L361" s="199"/>
      <c r="M361" s="199"/>
      <c r="N361" s="94"/>
    </row>
    <row r="362" spans="1:14" ht="24" customHeight="1" outlineLevel="2" x14ac:dyDescent="0.25">
      <c r="A362" s="197"/>
      <c r="B362" s="196"/>
      <c r="C362" s="184" t="s">
        <v>256</v>
      </c>
      <c r="D362" s="93" t="s">
        <v>6</v>
      </c>
      <c r="E362" s="57">
        <f t="shared" si="53"/>
        <v>4733432.76</v>
      </c>
      <c r="F362" s="57">
        <f>SUM(F363:F364)</f>
        <v>0</v>
      </c>
      <c r="G362" s="57">
        <f>SUM(G363:G364)</f>
        <v>747416.4</v>
      </c>
      <c r="H362" s="57">
        <v>3986016.36</v>
      </c>
      <c r="I362" s="185"/>
      <c r="J362" s="199"/>
      <c r="K362" s="199"/>
      <c r="L362" s="199"/>
      <c r="M362" s="199"/>
      <c r="N362" s="94"/>
    </row>
    <row r="363" spans="1:14" ht="24" customHeight="1" outlineLevel="2" x14ac:dyDescent="0.25">
      <c r="A363" s="197"/>
      <c r="B363" s="196"/>
      <c r="C363" s="185"/>
      <c r="D363" s="96" t="s">
        <v>10</v>
      </c>
      <c r="E363" s="83">
        <f t="shared" si="53"/>
        <v>0</v>
      </c>
      <c r="F363" s="12">
        <v>0</v>
      </c>
      <c r="G363" s="12">
        <v>0</v>
      </c>
      <c r="H363" s="12">
        <v>0</v>
      </c>
      <c r="I363" s="185"/>
      <c r="J363" s="199"/>
      <c r="K363" s="199"/>
      <c r="L363" s="199"/>
      <c r="M363" s="199"/>
      <c r="N363" s="94"/>
    </row>
    <row r="364" spans="1:14" ht="24" customHeight="1" outlineLevel="2" x14ac:dyDescent="0.25">
      <c r="A364" s="197"/>
      <c r="B364" s="196"/>
      <c r="C364" s="186"/>
      <c r="D364" s="96" t="s">
        <v>11</v>
      </c>
      <c r="E364" s="83">
        <f t="shared" si="53"/>
        <v>4248676.4000000004</v>
      </c>
      <c r="F364" s="12">
        <v>0</v>
      </c>
      <c r="G364" s="12">
        <f>707220+40196.4</f>
        <v>747416.4</v>
      </c>
      <c r="H364" s="12">
        <v>3501260</v>
      </c>
      <c r="I364" s="185"/>
      <c r="J364" s="199"/>
      <c r="K364" s="199"/>
      <c r="L364" s="199"/>
      <c r="M364" s="199"/>
      <c r="N364" s="94"/>
    </row>
    <row r="365" spans="1:14" ht="15" customHeight="1" outlineLevel="2" x14ac:dyDescent="0.25">
      <c r="A365" s="197"/>
      <c r="B365" s="196"/>
      <c r="C365" s="184" t="s">
        <v>257</v>
      </c>
      <c r="D365" s="93" t="s">
        <v>6</v>
      </c>
      <c r="E365" s="57">
        <f t="shared" si="53"/>
        <v>3986016.36</v>
      </c>
      <c r="F365" s="57">
        <f>SUM(F366:F367)</f>
        <v>0</v>
      </c>
      <c r="G365" s="57">
        <f>SUM(G366:G367)</f>
        <v>0</v>
      </c>
      <c r="H365" s="57">
        <v>3986016.36</v>
      </c>
      <c r="I365" s="185"/>
      <c r="J365" s="199"/>
      <c r="K365" s="199"/>
      <c r="L365" s="199"/>
      <c r="M365" s="199"/>
      <c r="N365" s="94"/>
    </row>
    <row r="366" spans="1:14" ht="15" customHeight="1" outlineLevel="2" x14ac:dyDescent="0.25">
      <c r="A366" s="197"/>
      <c r="B366" s="196"/>
      <c r="C366" s="185"/>
      <c r="D366" s="96" t="s">
        <v>10</v>
      </c>
      <c r="E366" s="83">
        <f t="shared" si="53"/>
        <v>0</v>
      </c>
      <c r="F366" s="12">
        <v>0</v>
      </c>
      <c r="G366" s="12">
        <v>0</v>
      </c>
      <c r="H366" s="12">
        <v>0</v>
      </c>
      <c r="I366" s="185"/>
      <c r="J366" s="199"/>
      <c r="K366" s="199"/>
      <c r="L366" s="199"/>
      <c r="M366" s="199"/>
      <c r="N366" s="94"/>
    </row>
    <row r="367" spans="1:14" ht="15" customHeight="1" outlineLevel="2" x14ac:dyDescent="0.25">
      <c r="A367" s="197"/>
      <c r="B367" s="196"/>
      <c r="C367" s="186"/>
      <c r="D367" s="96" t="s">
        <v>11</v>
      </c>
      <c r="E367" s="83">
        <f t="shared" si="53"/>
        <v>484756.35999999987</v>
      </c>
      <c r="F367" s="12">
        <v>0</v>
      </c>
      <c r="G367" s="12">
        <v>0</v>
      </c>
      <c r="H367" s="12">
        <f>3986016.36-H364</f>
        <v>484756.35999999987</v>
      </c>
      <c r="I367" s="186"/>
      <c r="J367" s="200"/>
      <c r="K367" s="200"/>
      <c r="L367" s="200"/>
      <c r="M367" s="200"/>
      <c r="N367" s="94"/>
    </row>
    <row r="368" spans="1:14" ht="21" customHeight="1" outlineLevel="2" x14ac:dyDescent="0.25">
      <c r="A368" s="197" t="s">
        <v>124</v>
      </c>
      <c r="B368" s="196" t="s">
        <v>43</v>
      </c>
      <c r="C368" s="184"/>
      <c r="D368" s="93" t="s">
        <v>6</v>
      </c>
      <c r="E368" s="57">
        <f t="shared" si="53"/>
        <v>1474452.58</v>
      </c>
      <c r="F368" s="57">
        <f>SUM(F369:F370)</f>
        <v>0</v>
      </c>
      <c r="G368" s="57">
        <f>SUM(G369:G370)</f>
        <v>462792.57999999996</v>
      </c>
      <c r="H368" s="57">
        <f>SUM(H369:H370)</f>
        <v>1011660</v>
      </c>
      <c r="I368" s="184" t="s">
        <v>97</v>
      </c>
      <c r="J368" s="198" t="s">
        <v>9</v>
      </c>
      <c r="K368" s="217" t="s">
        <v>99</v>
      </c>
      <c r="L368" s="217" t="s">
        <v>98</v>
      </c>
      <c r="M368" s="198">
        <v>4.2</v>
      </c>
      <c r="N368" s="94">
        <f>H368-'Апрель)'!H130</f>
        <v>100000</v>
      </c>
    </row>
    <row r="369" spans="1:14" ht="21" customHeight="1" outlineLevel="2" x14ac:dyDescent="0.25">
      <c r="A369" s="197"/>
      <c r="B369" s="196"/>
      <c r="C369" s="185"/>
      <c r="D369" s="96" t="s">
        <v>10</v>
      </c>
      <c r="E369" s="83">
        <f t="shared" si="53"/>
        <v>0</v>
      </c>
      <c r="F369" s="12">
        <v>0</v>
      </c>
      <c r="G369" s="12">
        <v>0</v>
      </c>
      <c r="H369" s="12">
        <v>0</v>
      </c>
      <c r="I369" s="185"/>
      <c r="J369" s="199"/>
      <c r="K369" s="218"/>
      <c r="L369" s="218"/>
      <c r="M369" s="199"/>
      <c r="N369" s="94"/>
    </row>
    <row r="370" spans="1:14" ht="21" customHeight="1" outlineLevel="2" x14ac:dyDescent="0.25">
      <c r="A370" s="197"/>
      <c r="B370" s="196"/>
      <c r="C370" s="186"/>
      <c r="D370" s="96" t="s">
        <v>11</v>
      </c>
      <c r="E370" s="83">
        <f t="shared" si="53"/>
        <v>1474452.58</v>
      </c>
      <c r="F370" s="12">
        <v>0</v>
      </c>
      <c r="G370" s="12">
        <f>56250+150000+256542.58</f>
        <v>462792.57999999996</v>
      </c>
      <c r="H370" s="12">
        <v>1011660</v>
      </c>
      <c r="I370" s="185"/>
      <c r="J370" s="199"/>
      <c r="K370" s="218"/>
      <c r="L370" s="218"/>
      <c r="M370" s="199"/>
      <c r="N370" s="94"/>
    </row>
    <row r="371" spans="1:14" ht="24" customHeight="1" outlineLevel="2" x14ac:dyDescent="0.25">
      <c r="A371" s="197"/>
      <c r="B371" s="196"/>
      <c r="C371" s="184" t="s">
        <v>256</v>
      </c>
      <c r="D371" s="93" t="s">
        <v>6</v>
      </c>
      <c r="E371" s="57">
        <f t="shared" si="53"/>
        <v>1474452.58</v>
      </c>
      <c r="F371" s="57">
        <f>SUM(F372:F373)</f>
        <v>0</v>
      </c>
      <c r="G371" s="57">
        <f>SUM(G372:G373)</f>
        <v>462792.57999999996</v>
      </c>
      <c r="H371" s="57">
        <f>SUM(H372:H373)</f>
        <v>1011660</v>
      </c>
      <c r="I371" s="185"/>
      <c r="J371" s="199"/>
      <c r="K371" s="218"/>
      <c r="L371" s="218"/>
      <c r="M371" s="199"/>
      <c r="N371" s="94"/>
    </row>
    <row r="372" spans="1:14" ht="24" customHeight="1" outlineLevel="2" x14ac:dyDescent="0.25">
      <c r="A372" s="197"/>
      <c r="B372" s="196"/>
      <c r="C372" s="185"/>
      <c r="D372" s="96" t="s">
        <v>10</v>
      </c>
      <c r="E372" s="83">
        <f t="shared" si="53"/>
        <v>0</v>
      </c>
      <c r="F372" s="12">
        <v>0</v>
      </c>
      <c r="G372" s="12">
        <v>0</v>
      </c>
      <c r="H372" s="12">
        <v>0</v>
      </c>
      <c r="I372" s="185"/>
      <c r="J372" s="199"/>
      <c r="K372" s="218"/>
      <c r="L372" s="218"/>
      <c r="M372" s="199"/>
      <c r="N372" s="94"/>
    </row>
    <row r="373" spans="1:14" ht="24" customHeight="1" outlineLevel="2" x14ac:dyDescent="0.25">
      <c r="A373" s="197"/>
      <c r="B373" s="196"/>
      <c r="C373" s="186"/>
      <c r="D373" s="96" t="s">
        <v>11</v>
      </c>
      <c r="E373" s="83">
        <f t="shared" si="53"/>
        <v>1474452.58</v>
      </c>
      <c r="F373" s="12">
        <v>0</v>
      </c>
      <c r="G373" s="12">
        <f>56250+150000+256542.58</f>
        <v>462792.57999999996</v>
      </c>
      <c r="H373" s="12">
        <v>1011660</v>
      </c>
      <c r="I373" s="185"/>
      <c r="J373" s="199"/>
      <c r="K373" s="218"/>
      <c r="L373" s="218"/>
      <c r="M373" s="199"/>
      <c r="N373" s="94"/>
    </row>
    <row r="374" spans="1:14" ht="15" customHeight="1" outlineLevel="2" x14ac:dyDescent="0.25">
      <c r="A374" s="197"/>
      <c r="B374" s="196"/>
      <c r="C374" s="184" t="s">
        <v>257</v>
      </c>
      <c r="D374" s="93" t="s">
        <v>6</v>
      </c>
      <c r="E374" s="57">
        <f t="shared" si="53"/>
        <v>0</v>
      </c>
      <c r="F374" s="57">
        <f>SUM(F375:F376)</f>
        <v>0</v>
      </c>
      <c r="G374" s="57">
        <f>SUM(G375:G376)</f>
        <v>0</v>
      </c>
      <c r="H374" s="57">
        <f>SUM(H375:H376)</f>
        <v>0</v>
      </c>
      <c r="I374" s="185"/>
      <c r="J374" s="199"/>
      <c r="K374" s="218"/>
      <c r="L374" s="218"/>
      <c r="M374" s="199"/>
      <c r="N374" s="94"/>
    </row>
    <row r="375" spans="1:14" ht="15" customHeight="1" outlineLevel="2" x14ac:dyDescent="0.25">
      <c r="A375" s="197"/>
      <c r="B375" s="196"/>
      <c r="C375" s="185"/>
      <c r="D375" s="96" t="s">
        <v>10</v>
      </c>
      <c r="E375" s="83">
        <f t="shared" si="53"/>
        <v>0</v>
      </c>
      <c r="F375" s="12">
        <v>0</v>
      </c>
      <c r="G375" s="12">
        <v>0</v>
      </c>
      <c r="H375" s="12">
        <v>0</v>
      </c>
      <c r="I375" s="185"/>
      <c r="J375" s="199"/>
      <c r="K375" s="218"/>
      <c r="L375" s="218"/>
      <c r="M375" s="199"/>
      <c r="N375" s="94"/>
    </row>
    <row r="376" spans="1:14" ht="15" customHeight="1" outlineLevel="2" x14ac:dyDescent="0.25">
      <c r="A376" s="197"/>
      <c r="B376" s="196"/>
      <c r="C376" s="186"/>
      <c r="D376" s="96" t="s">
        <v>11</v>
      </c>
      <c r="E376" s="83">
        <f t="shared" si="53"/>
        <v>0</v>
      </c>
      <c r="F376" s="12">
        <v>0</v>
      </c>
      <c r="G376" s="12">
        <v>0</v>
      </c>
      <c r="H376" s="12">
        <v>0</v>
      </c>
      <c r="I376" s="186"/>
      <c r="J376" s="200"/>
      <c r="K376" s="219"/>
      <c r="L376" s="219"/>
      <c r="M376" s="200"/>
      <c r="N376" s="94"/>
    </row>
    <row r="377" spans="1:14" s="95" customFormat="1" ht="13.5" customHeight="1" x14ac:dyDescent="0.2">
      <c r="A377" s="212" t="s">
        <v>44</v>
      </c>
      <c r="B377" s="212"/>
      <c r="C377" s="184"/>
      <c r="D377" s="92" t="s">
        <v>6</v>
      </c>
      <c r="E377" s="57">
        <f>SUM(F377:H377)</f>
        <v>73118269</v>
      </c>
      <c r="F377" s="57">
        <f>SUM(F378:F379)</f>
        <v>24923869</v>
      </c>
      <c r="G377" s="57">
        <f>SUM(G378:G379)</f>
        <v>15729760</v>
      </c>
      <c r="H377" s="57">
        <f>SUM(H378:H379)</f>
        <v>32464640</v>
      </c>
      <c r="I377" s="202"/>
      <c r="J377" s="203"/>
      <c r="K377" s="203"/>
      <c r="L377" s="203"/>
      <c r="M377" s="204"/>
      <c r="N377" s="94">
        <f>H377-'Апрель)'!H136</f>
        <v>4956550</v>
      </c>
    </row>
    <row r="378" spans="1:14" s="95" customFormat="1" ht="13.5" customHeight="1" x14ac:dyDescent="0.2">
      <c r="A378" s="212"/>
      <c r="B378" s="212"/>
      <c r="C378" s="185"/>
      <c r="D378" s="92" t="s">
        <v>10</v>
      </c>
      <c r="E378" s="57">
        <f>SUM(F378:H378)</f>
        <v>3878600</v>
      </c>
      <c r="F378" s="57">
        <f t="shared" ref="F378:H379" si="54">F18+F135+F207</f>
        <v>625000</v>
      </c>
      <c r="G378" s="57">
        <f t="shared" si="54"/>
        <v>3253600</v>
      </c>
      <c r="H378" s="57">
        <f t="shared" si="54"/>
        <v>0</v>
      </c>
      <c r="I378" s="205"/>
      <c r="J378" s="206"/>
      <c r="K378" s="206"/>
      <c r="L378" s="206"/>
      <c r="M378" s="207"/>
      <c r="N378" s="94"/>
    </row>
    <row r="379" spans="1:14" s="95" customFormat="1" ht="13.5" customHeight="1" x14ac:dyDescent="0.2">
      <c r="A379" s="212"/>
      <c r="B379" s="212"/>
      <c r="C379" s="186"/>
      <c r="D379" s="92" t="s">
        <v>11</v>
      </c>
      <c r="E379" s="57">
        <f>SUM(F379:H379)</f>
        <v>69239669</v>
      </c>
      <c r="F379" s="57">
        <f t="shared" si="54"/>
        <v>24298869</v>
      </c>
      <c r="G379" s="57">
        <f t="shared" si="54"/>
        <v>12476160</v>
      </c>
      <c r="H379" s="57">
        <f t="shared" si="54"/>
        <v>32464640</v>
      </c>
      <c r="I379" s="205"/>
      <c r="J379" s="206"/>
      <c r="K379" s="206"/>
      <c r="L379" s="206"/>
      <c r="M379" s="207"/>
      <c r="N379" s="94"/>
    </row>
    <row r="380" spans="1:14" s="95" customFormat="1" ht="24" customHeight="1" x14ac:dyDescent="0.2">
      <c r="A380" s="212"/>
      <c r="B380" s="212"/>
      <c r="C380" s="184" t="s">
        <v>256</v>
      </c>
      <c r="D380" s="92" t="s">
        <v>6</v>
      </c>
      <c r="E380" s="57">
        <f t="shared" ref="E380:E385" si="55">SUM(F380:H380)</f>
        <v>59953279</v>
      </c>
      <c r="F380" s="57">
        <f>SUM(F381:F382)</f>
        <v>24923869</v>
      </c>
      <c r="G380" s="57">
        <f>SUM(G381:G382)</f>
        <v>15729760</v>
      </c>
      <c r="H380" s="57">
        <f>SUM(H381:H382)</f>
        <v>19299650</v>
      </c>
      <c r="I380" s="205"/>
      <c r="J380" s="206"/>
      <c r="K380" s="206"/>
      <c r="L380" s="206"/>
      <c r="M380" s="207"/>
      <c r="N380" s="94"/>
    </row>
    <row r="381" spans="1:14" s="95" customFormat="1" ht="24" customHeight="1" x14ac:dyDescent="0.2">
      <c r="A381" s="212"/>
      <c r="B381" s="212"/>
      <c r="C381" s="185"/>
      <c r="D381" s="92" t="s">
        <v>10</v>
      </c>
      <c r="E381" s="57">
        <f t="shared" si="55"/>
        <v>3878600</v>
      </c>
      <c r="F381" s="57">
        <f t="shared" ref="F381:H382" si="56">F21+F138+F210</f>
        <v>625000</v>
      </c>
      <c r="G381" s="57">
        <f t="shared" si="56"/>
        <v>3253600</v>
      </c>
      <c r="H381" s="57">
        <f t="shared" si="56"/>
        <v>0</v>
      </c>
      <c r="I381" s="205"/>
      <c r="J381" s="206"/>
      <c r="K381" s="206"/>
      <c r="L381" s="206"/>
      <c r="M381" s="207"/>
      <c r="N381" s="94"/>
    </row>
    <row r="382" spans="1:14" s="95" customFormat="1" ht="24" customHeight="1" x14ac:dyDescent="0.2">
      <c r="A382" s="212"/>
      <c r="B382" s="212"/>
      <c r="C382" s="186"/>
      <c r="D382" s="92" t="s">
        <v>11</v>
      </c>
      <c r="E382" s="57">
        <f t="shared" si="55"/>
        <v>56074679</v>
      </c>
      <c r="F382" s="57">
        <f t="shared" si="56"/>
        <v>24298869</v>
      </c>
      <c r="G382" s="57">
        <f t="shared" si="56"/>
        <v>12476160</v>
      </c>
      <c r="H382" s="57">
        <f t="shared" si="56"/>
        <v>19299650</v>
      </c>
      <c r="I382" s="205"/>
      <c r="J382" s="206"/>
      <c r="K382" s="206"/>
      <c r="L382" s="206"/>
      <c r="M382" s="207"/>
      <c r="N382" s="94"/>
    </row>
    <row r="383" spans="1:14" s="95" customFormat="1" ht="15" customHeight="1" x14ac:dyDescent="0.2">
      <c r="A383" s="212"/>
      <c r="B383" s="212"/>
      <c r="C383" s="184" t="s">
        <v>257</v>
      </c>
      <c r="D383" s="92" t="s">
        <v>6</v>
      </c>
      <c r="E383" s="57">
        <f t="shared" si="55"/>
        <v>13164990</v>
      </c>
      <c r="F383" s="57">
        <f>SUM(F384:F385)</f>
        <v>0</v>
      </c>
      <c r="G383" s="57">
        <f>SUM(G384:G385)</f>
        <v>0</v>
      </c>
      <c r="H383" s="57">
        <f>SUM(H384:H385)</f>
        <v>13164990</v>
      </c>
      <c r="I383" s="205"/>
      <c r="J383" s="206"/>
      <c r="K383" s="206"/>
      <c r="L383" s="206"/>
      <c r="M383" s="207"/>
      <c r="N383" s="94"/>
    </row>
    <row r="384" spans="1:14" s="95" customFormat="1" ht="15" customHeight="1" x14ac:dyDescent="0.2">
      <c r="A384" s="212"/>
      <c r="B384" s="212"/>
      <c r="C384" s="185"/>
      <c r="D384" s="92" t="s">
        <v>10</v>
      </c>
      <c r="E384" s="57">
        <f t="shared" si="55"/>
        <v>0</v>
      </c>
      <c r="F384" s="57">
        <f t="shared" ref="F384:H385" si="57">F24+F141+F213</f>
        <v>0</v>
      </c>
      <c r="G384" s="57">
        <f t="shared" si="57"/>
        <v>0</v>
      </c>
      <c r="H384" s="57">
        <f t="shared" si="57"/>
        <v>0</v>
      </c>
      <c r="I384" s="205"/>
      <c r="J384" s="206"/>
      <c r="K384" s="206"/>
      <c r="L384" s="206"/>
      <c r="M384" s="207"/>
      <c r="N384" s="94"/>
    </row>
    <row r="385" spans="1:14" s="95" customFormat="1" ht="15" customHeight="1" x14ac:dyDescent="0.2">
      <c r="A385" s="212"/>
      <c r="B385" s="212"/>
      <c r="C385" s="186"/>
      <c r="D385" s="92" t="s">
        <v>11</v>
      </c>
      <c r="E385" s="57">
        <f t="shared" si="55"/>
        <v>13164990</v>
      </c>
      <c r="F385" s="57">
        <f t="shared" si="57"/>
        <v>0</v>
      </c>
      <c r="G385" s="57">
        <f t="shared" si="57"/>
        <v>0</v>
      </c>
      <c r="H385" s="57">
        <f t="shared" si="57"/>
        <v>13164990</v>
      </c>
      <c r="I385" s="208"/>
      <c r="J385" s="209"/>
      <c r="K385" s="209"/>
      <c r="L385" s="209"/>
      <c r="M385" s="210"/>
      <c r="N385" s="94"/>
    </row>
    <row r="386" spans="1:14" x14ac:dyDescent="0.25">
      <c r="K386" s="100"/>
    </row>
    <row r="388" spans="1:14" x14ac:dyDescent="0.25">
      <c r="E388" s="84" t="s">
        <v>258</v>
      </c>
      <c r="H388" s="97"/>
    </row>
    <row r="389" spans="1:14" x14ac:dyDescent="0.25">
      <c r="D389" s="90"/>
      <c r="E389" s="90"/>
      <c r="F389" s="90"/>
      <c r="G389" s="90"/>
      <c r="H389" s="90"/>
    </row>
    <row r="390" spans="1:14" x14ac:dyDescent="0.25">
      <c r="D390" s="90"/>
    </row>
  </sheetData>
  <mergeCells count="399">
    <mergeCell ref="J152:J187"/>
    <mergeCell ref="J134:J142"/>
    <mergeCell ref="K134:K142"/>
    <mergeCell ref="L134:L142"/>
    <mergeCell ref="M134:M142"/>
    <mergeCell ref="C137:C139"/>
    <mergeCell ref="C140:C142"/>
    <mergeCell ref="A134:A142"/>
    <mergeCell ref="B134:B142"/>
    <mergeCell ref="C134:C136"/>
    <mergeCell ref="I134:I142"/>
    <mergeCell ref="L17:L25"/>
    <mergeCell ref="M17:M25"/>
    <mergeCell ref="C20:C22"/>
    <mergeCell ref="C23:C25"/>
    <mergeCell ref="J26:J34"/>
    <mergeCell ref="K26:K34"/>
    <mergeCell ref="A16:M16"/>
    <mergeCell ref="A17:A25"/>
    <mergeCell ref="B17:B25"/>
    <mergeCell ref="C17:C19"/>
    <mergeCell ref="I17:I25"/>
    <mergeCell ref="J17:J25"/>
    <mergeCell ref="K17:K25"/>
    <mergeCell ref="L26:L34"/>
    <mergeCell ref="M26:M34"/>
    <mergeCell ref="J35:J43"/>
    <mergeCell ref="A53:A61"/>
    <mergeCell ref="B53:B61"/>
    <mergeCell ref="C53:C55"/>
    <mergeCell ref="I53:I61"/>
    <mergeCell ref="J53:J61"/>
    <mergeCell ref="A44:A52"/>
    <mergeCell ref="C56:C58"/>
    <mergeCell ref="M359:M367"/>
    <mergeCell ref="L359:L367"/>
    <mergeCell ref="K359:K367"/>
    <mergeCell ref="J359:J367"/>
    <mergeCell ref="I359:I367"/>
    <mergeCell ref="I368:I376"/>
    <mergeCell ref="J368:J376"/>
    <mergeCell ref="K368:K376"/>
    <mergeCell ref="L368:L376"/>
    <mergeCell ref="M368:M376"/>
    <mergeCell ref="M341:M349"/>
    <mergeCell ref="L341:L349"/>
    <mergeCell ref="K341:K349"/>
    <mergeCell ref="J341:J349"/>
    <mergeCell ref="I341:I349"/>
    <mergeCell ref="I350:I358"/>
    <mergeCell ref="J350:J358"/>
    <mergeCell ref="K350:K358"/>
    <mergeCell ref="L350:L358"/>
    <mergeCell ref="M350:M358"/>
    <mergeCell ref="M323:M331"/>
    <mergeCell ref="L323:L331"/>
    <mergeCell ref="K323:K331"/>
    <mergeCell ref="J323:J331"/>
    <mergeCell ref="I323:I331"/>
    <mergeCell ref="I332:I340"/>
    <mergeCell ref="J332:J340"/>
    <mergeCell ref="K332:K340"/>
    <mergeCell ref="L332:L340"/>
    <mergeCell ref="M332:M340"/>
    <mergeCell ref="I305:I313"/>
    <mergeCell ref="I314:I322"/>
    <mergeCell ref="J314:J322"/>
    <mergeCell ref="K314:K322"/>
    <mergeCell ref="L314:L322"/>
    <mergeCell ref="M314:M322"/>
    <mergeCell ref="M296:M304"/>
    <mergeCell ref="L296:L304"/>
    <mergeCell ref="K296:K304"/>
    <mergeCell ref="J296:J304"/>
    <mergeCell ref="J305:J313"/>
    <mergeCell ref="K305:K313"/>
    <mergeCell ref="L305:L313"/>
    <mergeCell ref="M305:M313"/>
    <mergeCell ref="M278:M286"/>
    <mergeCell ref="L278:L286"/>
    <mergeCell ref="K278:K286"/>
    <mergeCell ref="J278:J286"/>
    <mergeCell ref="I278:I286"/>
    <mergeCell ref="I287:I295"/>
    <mergeCell ref="J287:J295"/>
    <mergeCell ref="K287:K295"/>
    <mergeCell ref="L287:L295"/>
    <mergeCell ref="M287:M295"/>
    <mergeCell ref="M260:M268"/>
    <mergeCell ref="L260:L268"/>
    <mergeCell ref="K260:K268"/>
    <mergeCell ref="J260:J268"/>
    <mergeCell ref="I260:I268"/>
    <mergeCell ref="I269:I277"/>
    <mergeCell ref="J269:J277"/>
    <mergeCell ref="K269:K277"/>
    <mergeCell ref="L269:L277"/>
    <mergeCell ref="M269:M277"/>
    <mergeCell ref="I242:I250"/>
    <mergeCell ref="I251:I259"/>
    <mergeCell ref="J251:J259"/>
    <mergeCell ref="K251:K259"/>
    <mergeCell ref="L251:L259"/>
    <mergeCell ref="M251:M259"/>
    <mergeCell ref="J233:J241"/>
    <mergeCell ref="K233:K241"/>
    <mergeCell ref="L233:L241"/>
    <mergeCell ref="M233:M241"/>
    <mergeCell ref="M242:M250"/>
    <mergeCell ref="L242:L250"/>
    <mergeCell ref="K242:K250"/>
    <mergeCell ref="J242:J250"/>
    <mergeCell ref="M224:M232"/>
    <mergeCell ref="L224:L232"/>
    <mergeCell ref="K224:K232"/>
    <mergeCell ref="J224:J232"/>
    <mergeCell ref="I224:I232"/>
    <mergeCell ref="I206:I214"/>
    <mergeCell ref="J206:J214"/>
    <mergeCell ref="L206:L214"/>
    <mergeCell ref="M206:M214"/>
    <mergeCell ref="J188:J205"/>
    <mergeCell ref="K188:K205"/>
    <mergeCell ref="L188:L205"/>
    <mergeCell ref="M188:M205"/>
    <mergeCell ref="I215:I223"/>
    <mergeCell ref="J215:J223"/>
    <mergeCell ref="K215:K223"/>
    <mergeCell ref="L215:L223"/>
    <mergeCell ref="M215:M223"/>
    <mergeCell ref="K206:K214"/>
    <mergeCell ref="A341:A349"/>
    <mergeCell ref="A350:A358"/>
    <mergeCell ref="A359:A367"/>
    <mergeCell ref="A368:A376"/>
    <mergeCell ref="I26:I34"/>
    <mergeCell ref="I35:I43"/>
    <mergeCell ref="I44:I52"/>
    <mergeCell ref="I71:I79"/>
    <mergeCell ref="A287:A295"/>
    <mergeCell ref="A296:A304"/>
    <mergeCell ref="A323:A331"/>
    <mergeCell ref="A332:A340"/>
    <mergeCell ref="A233:A241"/>
    <mergeCell ref="A242:A250"/>
    <mergeCell ref="A251:A259"/>
    <mergeCell ref="A260:A268"/>
    <mergeCell ref="A269:A277"/>
    <mergeCell ref="A278:A286"/>
    <mergeCell ref="A179:A187"/>
    <mergeCell ref="A188:A196"/>
    <mergeCell ref="A197:A205"/>
    <mergeCell ref="A215:A223"/>
    <mergeCell ref="A305:A313"/>
    <mergeCell ref="A314:A322"/>
    <mergeCell ref="A206:A214"/>
    <mergeCell ref="A224:A232"/>
    <mergeCell ref="B359:B367"/>
    <mergeCell ref="B215:B223"/>
    <mergeCell ref="B224:B232"/>
    <mergeCell ref="B233:B241"/>
    <mergeCell ref="B242:B250"/>
    <mergeCell ref="A71:A79"/>
    <mergeCell ref="A116:A124"/>
    <mergeCell ref="A143:A151"/>
    <mergeCell ref="A152:A160"/>
    <mergeCell ref="A98:A106"/>
    <mergeCell ref="B314:B322"/>
    <mergeCell ref="A62:A70"/>
    <mergeCell ref="B323:B331"/>
    <mergeCell ref="B332:B340"/>
    <mergeCell ref="B341:B349"/>
    <mergeCell ref="B350:B358"/>
    <mergeCell ref="A107:A115"/>
    <mergeCell ref="A125:A133"/>
    <mergeCell ref="A161:A169"/>
    <mergeCell ref="A170:A178"/>
    <mergeCell ref="C383:C385"/>
    <mergeCell ref="B26:B34"/>
    <mergeCell ref="B35:B43"/>
    <mergeCell ref="B44:B52"/>
    <mergeCell ref="B71:B79"/>
    <mergeCell ref="B116:B124"/>
    <mergeCell ref="B143:B151"/>
    <mergeCell ref="B152:B160"/>
    <mergeCell ref="B368:B376"/>
    <mergeCell ref="B269:B277"/>
    <mergeCell ref="C374:C376"/>
    <mergeCell ref="C380:C382"/>
    <mergeCell ref="C377:C379"/>
    <mergeCell ref="C368:C370"/>
    <mergeCell ref="B251:B259"/>
    <mergeCell ref="B260:B268"/>
    <mergeCell ref="B278:B286"/>
    <mergeCell ref="B287:B295"/>
    <mergeCell ref="B296:B304"/>
    <mergeCell ref="B305:B313"/>
    <mergeCell ref="C356:C358"/>
    <mergeCell ref="C362:C364"/>
    <mergeCell ref="C359:C361"/>
    <mergeCell ref="C341:C343"/>
    <mergeCell ref="C365:C367"/>
    <mergeCell ref="C371:C373"/>
    <mergeCell ref="C338:C340"/>
    <mergeCell ref="C344:C346"/>
    <mergeCell ref="C347:C349"/>
    <mergeCell ref="C353:C355"/>
    <mergeCell ref="C317:C319"/>
    <mergeCell ref="C320:C322"/>
    <mergeCell ref="C326:C328"/>
    <mergeCell ref="C329:C331"/>
    <mergeCell ref="C350:C352"/>
    <mergeCell ref="C335:C337"/>
    <mergeCell ref="C332:C334"/>
    <mergeCell ref="C302:C304"/>
    <mergeCell ref="C308:C310"/>
    <mergeCell ref="C305:C307"/>
    <mergeCell ref="C296:C298"/>
    <mergeCell ref="C314:C316"/>
    <mergeCell ref="C323:C325"/>
    <mergeCell ref="C287:C289"/>
    <mergeCell ref="C311:C313"/>
    <mergeCell ref="C284:C286"/>
    <mergeCell ref="C290:C292"/>
    <mergeCell ref="C293:C295"/>
    <mergeCell ref="C299:C301"/>
    <mergeCell ref="C71:C73"/>
    <mergeCell ref="I80:I88"/>
    <mergeCell ref="J80:J88"/>
    <mergeCell ref="B80:B88"/>
    <mergeCell ref="J89:J97"/>
    <mergeCell ref="A377:B385"/>
    <mergeCell ref="B125:B133"/>
    <mergeCell ref="C125:C127"/>
    <mergeCell ref="C170:C172"/>
    <mergeCell ref="C179:C181"/>
    <mergeCell ref="L98:L106"/>
    <mergeCell ref="C83:C85"/>
    <mergeCell ref="C86:C88"/>
    <mergeCell ref="I89:I97"/>
    <mergeCell ref="B107:B115"/>
    <mergeCell ref="C107:C109"/>
    <mergeCell ref="B89:B97"/>
    <mergeCell ref="B98:B106"/>
    <mergeCell ref="I98:I106"/>
    <mergeCell ref="J98:J106"/>
    <mergeCell ref="K80:K88"/>
    <mergeCell ref="L35:L43"/>
    <mergeCell ref="J44:J52"/>
    <mergeCell ref="K44:K52"/>
    <mergeCell ref="L44:L52"/>
    <mergeCell ref="J71:J79"/>
    <mergeCell ref="M35:M43"/>
    <mergeCell ref="M44:M52"/>
    <mergeCell ref="K71:K79"/>
    <mergeCell ref="L71:L79"/>
    <mergeCell ref="M71:M79"/>
    <mergeCell ref="K62:K70"/>
    <mergeCell ref="L62:L70"/>
    <mergeCell ref="K35:K43"/>
    <mergeCell ref="M53:M61"/>
    <mergeCell ref="K143:K145"/>
    <mergeCell ref="M62:M70"/>
    <mergeCell ref="K53:K61"/>
    <mergeCell ref="L53:L61"/>
    <mergeCell ref="K116:K124"/>
    <mergeCell ref="L116:L124"/>
    <mergeCell ref="M116:M124"/>
    <mergeCell ref="M107:M115"/>
    <mergeCell ref="M80:M88"/>
    <mergeCell ref="K98:K106"/>
    <mergeCell ref="I296:I304"/>
    <mergeCell ref="M98:M106"/>
    <mergeCell ref="L125:L133"/>
    <mergeCell ref="I116:I124"/>
    <mergeCell ref="L152:L187"/>
    <mergeCell ref="M152:M187"/>
    <mergeCell ref="I125:I133"/>
    <mergeCell ref="L143:L145"/>
    <mergeCell ref="M143:M145"/>
    <mergeCell ref="J143:J145"/>
    <mergeCell ref="C152:C154"/>
    <mergeCell ref="C143:C145"/>
    <mergeCell ref="C149:C151"/>
    <mergeCell ref="I377:M385"/>
    <mergeCell ref="I107:I115"/>
    <mergeCell ref="J107:J115"/>
    <mergeCell ref="K107:K115"/>
    <mergeCell ref="L107:L115"/>
    <mergeCell ref="J125:J133"/>
    <mergeCell ref="K125:K133"/>
    <mergeCell ref="M125:M133"/>
    <mergeCell ref="B62:B70"/>
    <mergeCell ref="C62:C64"/>
    <mergeCell ref="I62:I70"/>
    <mergeCell ref="J62:J70"/>
    <mergeCell ref="C65:C67"/>
    <mergeCell ref="C68:C70"/>
    <mergeCell ref="L80:L88"/>
    <mergeCell ref="C89:C91"/>
    <mergeCell ref="J116:J124"/>
    <mergeCell ref="K89:K97"/>
    <mergeCell ref="L89:L97"/>
    <mergeCell ref="C95:C97"/>
    <mergeCell ref="M89:M97"/>
    <mergeCell ref="C92:C94"/>
    <mergeCell ref="C278:C280"/>
    <mergeCell ref="C269:C271"/>
    <mergeCell ref="C260:C262"/>
    <mergeCell ref="C251:C253"/>
    <mergeCell ref="C242:C244"/>
    <mergeCell ref="C272:C274"/>
    <mergeCell ref="C215:C217"/>
    <mergeCell ref="C197:C199"/>
    <mergeCell ref="C254:C256"/>
    <mergeCell ref="C218:C220"/>
    <mergeCell ref="C221:C223"/>
    <mergeCell ref="C227:C229"/>
    <mergeCell ref="C224:C226"/>
    <mergeCell ref="C212:C214"/>
    <mergeCell ref="B188:B196"/>
    <mergeCell ref="B197:B205"/>
    <mergeCell ref="C200:C202"/>
    <mergeCell ref="C257:C259"/>
    <mergeCell ref="C263:C265"/>
    <mergeCell ref="C266:C268"/>
    <mergeCell ref="C206:C208"/>
    <mergeCell ref="C233:C235"/>
    <mergeCell ref="B206:B214"/>
    <mergeCell ref="I143:I151"/>
    <mergeCell ref="K152:K187"/>
    <mergeCell ref="C29:C31"/>
    <mergeCell ref="C32:C34"/>
    <mergeCell ref="A26:A34"/>
    <mergeCell ref="C38:C40"/>
    <mergeCell ref="C41:C43"/>
    <mergeCell ref="C47:C49"/>
    <mergeCell ref="C44:C46"/>
    <mergeCell ref="C35:C37"/>
    <mergeCell ref="A35:A43"/>
    <mergeCell ref="C26:C28"/>
    <mergeCell ref="C119:C121"/>
    <mergeCell ref="C122:C124"/>
    <mergeCell ref="C146:C148"/>
    <mergeCell ref="A80:A88"/>
    <mergeCell ref="C80:C82"/>
    <mergeCell ref="C128:C130"/>
    <mergeCell ref="C131:C133"/>
    <mergeCell ref="A89:A97"/>
    <mergeCell ref="C50:C52"/>
    <mergeCell ref="C74:C76"/>
    <mergeCell ref="C77:C79"/>
    <mergeCell ref="C116:C118"/>
    <mergeCell ref="C59:C61"/>
    <mergeCell ref="C110:C112"/>
    <mergeCell ref="C113:C115"/>
    <mergeCell ref="C101:C103"/>
    <mergeCell ref="C104:C106"/>
    <mergeCell ref="C98:C100"/>
    <mergeCell ref="B170:B178"/>
    <mergeCell ref="B179:B187"/>
    <mergeCell ref="C158:C160"/>
    <mergeCell ref="C173:C175"/>
    <mergeCell ref="C176:C178"/>
    <mergeCell ref="C182:C184"/>
    <mergeCell ref="C185:C187"/>
    <mergeCell ref="C164:C166"/>
    <mergeCell ref="C167:C169"/>
    <mergeCell ref="B161:B169"/>
    <mergeCell ref="I152:I187"/>
    <mergeCell ref="C203:C205"/>
    <mergeCell ref="C209:C211"/>
    <mergeCell ref="I188:I205"/>
    <mergeCell ref="I233:I241"/>
    <mergeCell ref="C155:C157"/>
    <mergeCell ref="C188:C190"/>
    <mergeCell ref="C191:C193"/>
    <mergeCell ref="C194:C196"/>
    <mergeCell ref="C161:C163"/>
    <mergeCell ref="C281:C283"/>
    <mergeCell ref="J1:M1"/>
    <mergeCell ref="J3:M7"/>
    <mergeCell ref="A8:M8"/>
    <mergeCell ref="K9:M9"/>
    <mergeCell ref="A11:A13"/>
    <mergeCell ref="B11:B13"/>
    <mergeCell ref="C11:C13"/>
    <mergeCell ref="D11:D13"/>
    <mergeCell ref="C230:C232"/>
    <mergeCell ref="E11:H11"/>
    <mergeCell ref="I11:M12"/>
    <mergeCell ref="E12:E13"/>
    <mergeCell ref="F12:H12"/>
    <mergeCell ref="A15:M15"/>
    <mergeCell ref="C275:C277"/>
    <mergeCell ref="C236:C238"/>
    <mergeCell ref="C239:C241"/>
    <mergeCell ref="C245:C247"/>
    <mergeCell ref="C248:C250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 differentFirst="1">
    <oddHeader>&amp;C&amp;P</oddHeader>
  </headerFooter>
  <rowBreaks count="10" manualBreakCount="10">
    <brk id="43" max="12" man="1"/>
    <brk id="79" max="12" man="1"/>
    <brk id="115" max="12" man="1"/>
    <brk id="151" max="12" man="1"/>
    <brk id="187" max="12" man="1"/>
    <brk id="223" max="12" man="1"/>
    <brk id="259" max="12" man="1"/>
    <brk id="295" max="12" man="1"/>
    <brk id="331" max="12" man="1"/>
    <brk id="36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(01.01.2016</vt:lpstr>
      <vt:lpstr>Базовая МП)</vt:lpstr>
      <vt:lpstr>(01.03.2016</vt:lpstr>
      <vt:lpstr>Февраль)</vt:lpstr>
      <vt:lpstr>(01.05.2016</vt:lpstr>
      <vt:lpstr>Апрель)</vt:lpstr>
      <vt:lpstr>(01.07.2016</vt:lpstr>
      <vt:lpstr>Июль)</vt:lpstr>
      <vt:lpstr>Июль (01.07.)</vt:lpstr>
      <vt:lpstr>'Апрель)'!Заголовки_для_печати</vt:lpstr>
      <vt:lpstr>'Базовая МП)'!Заголовки_для_печати</vt:lpstr>
      <vt:lpstr>'Июль (01.07.)'!Заголовки_для_печати</vt:lpstr>
      <vt:lpstr>'Февраль)'!Заголовки_для_печати</vt:lpstr>
      <vt:lpstr>'(01.07.2016'!Область_печати</vt:lpstr>
      <vt:lpstr>'Апрель)'!Область_печати</vt:lpstr>
      <vt:lpstr>'Базовая МП)'!Область_печати</vt:lpstr>
      <vt:lpstr>'Июль (01.07.)'!Область_печати</vt:lpstr>
      <vt:lpstr>'Февраль)'!Область_печати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2016-07-07T08:20:19Z</dcterms:modified>
</cp:coreProperties>
</file>