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5005" windowHeight="9465"/>
  </bookViews>
  <sheets>
    <sheet name="Разд 1" sheetId="2" r:id="rId1"/>
    <sheet name="Разд 2" sheetId="1" r:id="rId2"/>
    <sheet name="Разд 3" sheetId="3" r:id="rId3"/>
  </sheets>
  <definedNames>
    <definedName name="_xlnm.Print_Area" localSheetId="0">'Разд 1'!$A$1:$X$58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O15" i="1" l="1"/>
  <c r="A19" i="1" l="1"/>
  <c r="N35" i="2"/>
  <c r="M35" i="2"/>
  <c r="L35" i="2"/>
  <c r="K35" i="2"/>
  <c r="H23" i="1" l="1"/>
  <c r="V23" i="1" s="1"/>
  <c r="D23" i="1" l="1"/>
  <c r="C23" i="1" l="1"/>
  <c r="O34" i="2" s="1"/>
  <c r="S34" i="2" s="1"/>
  <c r="U34" i="2" s="1"/>
  <c r="N28" i="2"/>
  <c r="M28" i="2"/>
  <c r="L28" i="2"/>
  <c r="K28" i="2"/>
  <c r="M21" i="2"/>
  <c r="L21" i="2"/>
  <c r="K21" i="2"/>
  <c r="AC25" i="1"/>
  <c r="U22" i="1"/>
  <c r="S22" i="1"/>
  <c r="Q22" i="1"/>
  <c r="I11" i="1"/>
  <c r="K11" i="1"/>
  <c r="L11" i="1"/>
  <c r="M11" i="1"/>
  <c r="N11" i="1"/>
  <c r="W11" i="1"/>
  <c r="X11" i="1"/>
  <c r="Y11" i="1"/>
  <c r="I18" i="1"/>
  <c r="K18" i="1"/>
  <c r="L18" i="1"/>
  <c r="M18" i="1"/>
  <c r="N18" i="1"/>
  <c r="P18" i="1"/>
  <c r="T18" i="1"/>
  <c r="W18" i="1"/>
  <c r="X18" i="1"/>
  <c r="Y18" i="1"/>
  <c r="AA18" i="1"/>
  <c r="I25" i="1"/>
  <c r="K25" i="1"/>
  <c r="L25" i="1"/>
  <c r="M25" i="1"/>
  <c r="N25" i="1"/>
  <c r="T25" i="1"/>
  <c r="W25" i="1"/>
  <c r="X25" i="1"/>
  <c r="Y25" i="1"/>
  <c r="AB25" i="1"/>
  <c r="H22" i="1" l="1"/>
  <c r="G22" i="1"/>
  <c r="G25" i="1" s="1"/>
  <c r="F22" i="1"/>
  <c r="F25" i="1" s="1"/>
  <c r="E22" i="1"/>
  <c r="U21" i="1"/>
  <c r="U25" i="1" s="1"/>
  <c r="Q21" i="1"/>
  <c r="Q20" i="1"/>
  <c r="S17" i="1"/>
  <c r="Z16" i="1"/>
  <c r="O14" i="1"/>
  <c r="S13" i="1"/>
  <c r="V13" i="1" s="1"/>
  <c r="V21" i="1" l="1"/>
  <c r="O31" i="2"/>
  <c r="S31" i="2" s="1"/>
  <c r="U31" i="2" s="1"/>
  <c r="V15" i="1"/>
  <c r="C15" i="1" s="1"/>
  <c r="O25" i="2" s="1"/>
  <c r="S25" i="2" s="1"/>
  <c r="U25" i="2" s="1"/>
  <c r="V17" i="1"/>
  <c r="C17" i="1" s="1"/>
  <c r="O27" i="2" s="1"/>
  <c r="S27" i="2" s="1"/>
  <c r="U27" i="2" s="1"/>
  <c r="V14" i="1"/>
  <c r="C14" i="1" s="1"/>
  <c r="O24" i="2" s="1"/>
  <c r="S24" i="2" s="1"/>
  <c r="U24" i="2" s="1"/>
  <c r="O18" i="1"/>
  <c r="V16" i="1"/>
  <c r="C16" i="1" s="1"/>
  <c r="O26" i="2" s="1"/>
  <c r="S26" i="2" s="1"/>
  <c r="U26" i="2" s="1"/>
  <c r="Z18" i="1"/>
  <c r="V20" i="1"/>
  <c r="C20" i="1" s="1"/>
  <c r="Q25" i="1"/>
  <c r="D22" i="1"/>
  <c r="E25" i="1"/>
  <c r="S18" i="1"/>
  <c r="S25" i="1"/>
  <c r="N21" i="2"/>
  <c r="V22" i="1" l="1"/>
  <c r="C22" i="1" s="1"/>
  <c r="O32" i="2" s="1"/>
  <c r="S32" i="2" s="1"/>
  <c r="U32" i="2" s="1"/>
  <c r="O30" i="2"/>
  <c r="S30" i="2" s="1"/>
  <c r="U30" i="2" s="1"/>
  <c r="U10" i="1"/>
  <c r="U11" i="1" s="1"/>
  <c r="Q10" i="1"/>
  <c r="Q11" i="1" s="1"/>
  <c r="H10" i="1"/>
  <c r="H11" i="1" s="1"/>
  <c r="G10" i="1"/>
  <c r="G11" i="1" s="1"/>
  <c r="F10" i="1"/>
  <c r="F11" i="1" s="1"/>
  <c r="E10" i="1"/>
  <c r="H25" i="1" l="1"/>
  <c r="E11" i="1"/>
  <c r="D10" i="1" l="1"/>
  <c r="V10" i="1" s="1"/>
  <c r="J24" i="1"/>
  <c r="G35" i="1"/>
  <c r="V11" i="1" l="1"/>
  <c r="D11" i="1"/>
  <c r="D24" i="1"/>
  <c r="J25" i="1"/>
  <c r="V24" i="1"/>
  <c r="V25" i="1" s="1"/>
  <c r="C24" i="1" l="1"/>
  <c r="C25" i="1" s="1"/>
  <c r="D25" i="1"/>
  <c r="O33" i="2"/>
  <c r="S33" i="2" s="1"/>
  <c r="U33" i="2" s="1"/>
  <c r="I13" i="3" l="1"/>
  <c r="I10" i="3"/>
  <c r="I7" i="3"/>
  <c r="O35" i="2" l="1"/>
  <c r="S35" i="2" s="1"/>
  <c r="D13" i="3" l="1"/>
  <c r="D10" i="3"/>
  <c r="D7" i="3"/>
  <c r="C10" i="3"/>
  <c r="C13" i="3"/>
  <c r="M13" i="3" l="1"/>
  <c r="C7" i="3"/>
  <c r="N13" i="3" l="1"/>
  <c r="V18" i="1" l="1"/>
  <c r="C13" i="1"/>
  <c r="O23" i="2" s="1"/>
  <c r="S23" i="2" s="1"/>
  <c r="U23" i="2" s="1"/>
  <c r="C18" i="1" l="1"/>
  <c r="O28" i="2" s="1"/>
  <c r="S28" i="2" s="1"/>
  <c r="C10" i="1"/>
  <c r="C11" i="1" s="1"/>
  <c r="M10" i="3" l="1"/>
  <c r="N10" i="3" s="1"/>
  <c r="O21" i="2"/>
  <c r="S21" i="2" s="1"/>
  <c r="M7" i="3"/>
  <c r="N7" i="3" s="1"/>
  <c r="O20" i="2"/>
  <c r="S20" i="2" s="1"/>
  <c r="U20" i="2" s="1"/>
</calcChain>
</file>

<file path=xl/sharedStrings.xml><?xml version="1.0" encoding="utf-8"?>
<sst xmlns="http://schemas.openxmlformats.org/spreadsheetml/2006/main" count="470" uniqueCount="99">
  <si>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</si>
  <si>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</si>
  <si>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</si>
  <si>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</si>
  <si>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</si>
  <si>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</si>
  <si>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</si>
  <si>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</si>
  <si>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</si>
  <si>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</si>
  <si>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</si>
  <si>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</si>
  <si>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</si>
  <si>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</si>
  <si>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</si>
  <si>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</si>
  <si>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</si>
  <si>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</si>
  <si>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</si>
  <si>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</si>
  <si>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</si>
  <si>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</si>
  <si>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</si>
  <si>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</si>
  <si>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</si>
  <si>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</si>
  <si>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</si>
  <si>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</si>
  <si>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</si>
  <si>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</si>
  <si>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</si>
  <si>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ул. Кирова, д. 17</t>
  </si>
  <si>
    <t>пр. Ленина, д. 19</t>
  </si>
  <si>
    <t>ул. Хибиногорская, д. 33</t>
  </si>
  <si>
    <t>пр. Ленина, д. 9а</t>
  </si>
  <si>
    <t xml:space="preserve">Приложение 
к постановлениию администрации
города Кировска от ___________№ _______
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</si>
  <si>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</si>
  <si>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</si>
  <si>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</si>
  <si>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</si>
  <si>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</si>
  <si>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</si>
  <si>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</si>
  <si>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</si>
  <si>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</si>
  <si>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</si>
  <si>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</si>
  <si>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</si>
  <si>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</si>
  <si>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</si>
  <si>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</si>
  <si>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</si>
  <si>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</si>
  <si>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</si>
  <si>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</si>
  <si>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</si>
  <si>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</si>
  <si>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</si>
  <si>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</si>
  <si>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</si>
  <si>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</si>
  <si>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</si>
  <si>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</si>
  <si>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</si>
  <si>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</si>
  <si>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</si>
  <si>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</si>
  <si>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</si>
  <si>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</si>
  <si>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</si>
  <si>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</si>
  <si>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</si>
  <si>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</si>
  <si>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</si>
  <si>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</si>
  <si>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</si>
  <si>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</si>
  <si>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</si>
  <si>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ул. Кирова, д. 30</t>
  </si>
  <si>
    <t>ул. Кирова, д. 36</t>
  </si>
  <si>
    <t>пр. Ленина, д. 23а</t>
  </si>
  <si>
    <t>пр. Ленина, д. 5а</t>
  </si>
  <si>
    <t>-</t>
  </si>
  <si>
    <t>Краткосрочный план капитального ремонта многоквартирных домов, расположенных на территории муниципального округа город Кировск с подведомственной территорией на 2023, 2024, 2025  годы,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2014 - 2043 годы, утвержденной постановлением Правительства Мурманской области от 31.03.2014 № 168-ПП</t>
  </si>
  <si>
    <t>Итого 2023</t>
  </si>
  <si>
    <t>Итого 2024</t>
  </si>
  <si>
    <t>Итого 2025</t>
  </si>
  <si>
    <t>4-5</t>
  </si>
  <si>
    <t>2023</t>
  </si>
  <si>
    <t>2024</t>
  </si>
  <si>
    <t>2025</t>
  </si>
  <si>
    <t>Итого за 2023 год:</t>
  </si>
  <si>
    <t>Итого за 2024 год:</t>
  </si>
  <si>
    <t>Итого за 2025 год:</t>
  </si>
  <si>
    <t xml:space="preserve">пр. Ленина, д. 5 </t>
  </si>
  <si>
    <t>пр. Ленина, д.5</t>
  </si>
  <si>
    <t xml:space="preserve"> -     </t>
  </si>
  <si>
    <t>разработан ранее</t>
  </si>
  <si>
    <t xml:space="preserve">Приложение 
к постановлениию администрации
муниципального округа город Кировск Мурманской области                                                                                                                                                               от 30.05.2022 № 778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</si>
</sst>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2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textRotation="90"/>
    </xf>
    <xf numFmtId="0" fontId="13" fillId="0" borderId="2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2" borderId="0" xfId="0" applyFont="1" applyFill="1"/>
    <xf numFmtId="0" fontId="19" fillId="0" borderId="0" xfId="0" applyFont="1"/>
    <xf numFmtId="4" fontId="11" fillId="0" borderId="0" xfId="0" applyNumberFormat="1" applyFont="1"/>
    <xf numFmtId="4" fontId="11" fillId="2" borderId="0" xfId="0" applyNumberFormat="1" applyFont="1" applyFill="1" applyBorder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0" fontId="11" fillId="3" borderId="0" xfId="0" applyFont="1" applyFill="1"/>
    <xf numFmtId="4" fontId="19" fillId="0" borderId="0" xfId="0" applyNumberFormat="1" applyFont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4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5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9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4" fontId="2" fillId="2" borderId="0" xfId="0" applyNumberFormat="1" applyFont="1" applyFill="1"/>
    <xf numFmtId="43" fontId="2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/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13" fillId="2" borderId="2" xfId="0" applyFont="1" applyFill="1" applyBorder="1"/>
    <xf numFmtId="2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center"/>
    </xf>
    <xf numFmtId="1" fontId="18" fillId="2" borderId="2" xfId="0" applyNumberFormat="1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center"/>
    </xf>
    <xf numFmtId="3" fontId="18" fillId="2" borderId="2" xfId="0" applyNumberFormat="1" applyFont="1" applyFill="1" applyBorder="1" applyAlignment="1">
      <alignment horizontal="center"/>
    </xf>
    <xf numFmtId="4" fontId="21" fillId="2" borderId="2" xfId="2" applyNumberFormat="1" applyFont="1" applyFill="1" applyBorder="1" applyAlignment="1" applyProtection="1">
      <alignment horizontal="center"/>
    </xf>
    <xf numFmtId="4" fontId="21" fillId="2" borderId="2" xfId="1" applyNumberFormat="1" applyFont="1" applyFill="1" applyBorder="1" applyAlignment="1" applyProtection="1">
      <alignment horizontal="center"/>
    </xf>
    <xf numFmtId="166" fontId="21" fillId="2" borderId="2" xfId="1" applyNumberFormat="1" applyFont="1" applyFill="1" applyBorder="1" applyAlignment="1" applyProtection="1">
      <alignment horizontal="center"/>
    </xf>
    <xf numFmtId="4" fontId="19" fillId="2" borderId="2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 wrapText="1"/>
    </xf>
    <xf numFmtId="4" fontId="18" fillId="2" borderId="2" xfId="0" applyNumberFormat="1" applyFont="1" applyFill="1" applyBorder="1" applyAlignment="1">
      <alignment horizontal="center" wrapText="1"/>
    </xf>
    <xf numFmtId="43" fontId="9" fillId="2" borderId="2" xfId="1" applyFont="1" applyFill="1" applyBorder="1" applyAlignment="1">
      <alignment horizontal="center"/>
    </xf>
    <xf numFmtId="4" fontId="17" fillId="2" borderId="2" xfId="2" applyNumberFormat="1" applyFont="1" applyFill="1" applyBorder="1" applyAlignment="1" applyProtection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20" fillId="2" borderId="2" xfId="0" applyNumberFormat="1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/>
    </xf>
    <xf numFmtId="4" fontId="20" fillId="2" borderId="5" xfId="0" applyNumberFormat="1" applyFont="1" applyFill="1" applyBorder="1" applyAlignment="1">
      <alignment horizontal="center" wrapText="1"/>
    </xf>
    <xf numFmtId="0" fontId="13" fillId="0" borderId="2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3" fontId="24" fillId="2" borderId="0" xfId="0" applyNumberFormat="1" applyFont="1" applyFill="1"/>
    <xf numFmtId="4" fontId="19" fillId="0" borderId="0" xfId="0" applyNumberFormat="1" applyFont="1"/>
    <xf numFmtId="4" fontId="13" fillId="2" borderId="2" xfId="0" applyNumberFormat="1" applyFont="1" applyFill="1" applyBorder="1" applyAlignment="1"/>
    <xf numFmtId="43" fontId="10" fillId="2" borderId="2" xfId="1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3" fontId="9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3" fontId="7" fillId="2" borderId="2" xfId="1" applyNumberFormat="1" applyFont="1" applyFill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164" fontId="7" fillId="2" borderId="2" xfId="1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 wrapText="1"/>
    </xf>
    <xf numFmtId="43" fontId="8" fillId="2" borderId="2" xfId="1" applyFont="1" applyFill="1" applyBorder="1" applyAlignment="1">
      <alignment vertical="center"/>
    </xf>
    <xf numFmtId="39" fontId="2" fillId="2" borderId="2" xfId="1" applyNumberFormat="1" applyFont="1" applyFill="1" applyBorder="1" applyAlignment="1">
      <alignment vertical="center"/>
    </xf>
    <xf numFmtId="4" fontId="2" fillId="2" borderId="2" xfId="1" applyNumberFormat="1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horizontal="left"/>
    </xf>
    <xf numFmtId="1" fontId="16" fillId="2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center"/>
    </xf>
    <xf numFmtId="1" fontId="16" fillId="2" borderId="15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3" fontId="6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8"/>
  <sheetViews>
    <sheetView tabSelected="1" view="pageBreakPreview" topLeftCell="A8" zoomScale="60" zoomScaleNormal="70" workbookViewId="0">
      <selection activeCell="B10" sqref="B10:W14"/>
    </sheetView>
  </sheetViews>
  <sheetFormatPr defaultRowHeight="15" x14ac:dyDescent="0.25"/>
  <cols>
    <col min="1" max="1" width="8" style="6" customWidth="1"/>
    <col min="2" max="2" width="33.140625" style="6" customWidth="1"/>
    <col min="3" max="3" width="10.42578125" style="6" customWidth="1"/>
    <col min="4" max="4" width="8" style="6" customWidth="1"/>
    <col min="5" max="5" width="8.7109375" style="6" customWidth="1"/>
    <col min="6" max="6" width="14.28515625" style="6" customWidth="1"/>
    <col min="7" max="7" width="11.5703125" style="6" customWidth="1"/>
    <col min="8" max="8" width="16.28515625" style="6" customWidth="1"/>
    <col min="9" max="9" width="11" style="6" bestFit="1" customWidth="1"/>
    <col min="10" max="10" width="9.85546875" style="6" bestFit="1" customWidth="1"/>
    <col min="11" max="11" width="14.28515625" style="6" customWidth="1"/>
    <col min="12" max="12" width="14.7109375" style="6" bestFit="1" customWidth="1"/>
    <col min="13" max="13" width="14.140625" style="6" customWidth="1"/>
    <col min="14" max="14" width="15.28515625" style="6" customWidth="1"/>
    <col min="15" max="15" width="20.85546875" style="6" customWidth="1"/>
    <col min="16" max="16" width="9.85546875" style="6" customWidth="1"/>
    <col min="17" max="17" width="9" style="6" customWidth="1"/>
    <col min="18" max="18" width="9.42578125" style="6" customWidth="1"/>
    <col min="19" max="19" width="22.42578125" style="6" customWidth="1"/>
    <col min="20" max="20" width="10.140625" style="6" customWidth="1"/>
    <col min="21" max="21" width="14.7109375" style="6" customWidth="1"/>
    <col min="22" max="22" width="15.140625" style="6" bestFit="1" customWidth="1"/>
    <col min="23" max="23" width="11.7109375" style="6" customWidth="1"/>
    <col min="24" max="24" width="13.140625" style="6" bestFit="1" customWidth="1"/>
    <col min="25" max="25" width="13.85546875" style="6" bestFit="1" customWidth="1"/>
    <col min="26" max="26" width="18" style="6" customWidth="1"/>
    <col min="27" max="27" width="13" style="6" customWidth="1"/>
    <col min="28" max="31" width="9.140625" style="6"/>
    <col min="32" max="32" width="16.5703125" style="6" customWidth="1"/>
    <col min="33" max="33" width="25.85546875" style="6" customWidth="1"/>
    <col min="34" max="16384" width="9.140625" style="6"/>
  </cols>
  <sheetData>
    <row r="1" spans="1:25" ht="15.75" hidden="1" x14ac:dyDescent="0.25">
      <c r="V1" s="177"/>
      <c r="W1" s="177"/>
      <c r="X1" s="177"/>
    </row>
    <row r="2" spans="1:25" ht="74.25" hidden="1" customHeight="1" x14ac:dyDescent="0.3">
      <c r="F2" s="7"/>
      <c r="G2" s="7"/>
      <c r="H2" s="7"/>
      <c r="I2" s="7"/>
      <c r="J2" s="7"/>
      <c r="K2" s="7"/>
      <c r="L2" s="7"/>
      <c r="M2" s="7"/>
      <c r="N2" s="7"/>
      <c r="O2" s="7"/>
      <c r="P2" s="178"/>
      <c r="Q2" s="178"/>
      <c r="R2" s="178"/>
      <c r="S2" s="8"/>
      <c r="T2" s="179" t="s">
        <v>35</v>
      </c>
      <c r="U2" s="179"/>
      <c r="V2" s="179"/>
      <c r="W2" s="179"/>
      <c r="X2" s="179"/>
    </row>
    <row r="3" spans="1:25" ht="17.25" hidden="1" customHeight="1" x14ac:dyDescent="0.3">
      <c r="F3" s="7"/>
      <c r="G3" s="7"/>
      <c r="H3" s="7"/>
      <c r="I3" s="7"/>
      <c r="J3" s="7"/>
      <c r="K3" s="7"/>
      <c r="L3" s="7"/>
      <c r="M3" s="7"/>
      <c r="N3" s="7"/>
      <c r="O3" s="9"/>
      <c r="P3" s="9"/>
      <c r="Q3" s="9"/>
      <c r="R3" s="9"/>
      <c r="S3" s="10"/>
      <c r="T3" s="180"/>
      <c r="U3" s="180"/>
      <c r="V3" s="180"/>
      <c r="W3" s="180"/>
      <c r="X3" s="3"/>
      <c r="Y3" s="3"/>
    </row>
    <row r="4" spans="1:25" ht="18.75" hidden="1" x14ac:dyDescent="0.3">
      <c r="F4" s="7"/>
      <c r="G4" s="7"/>
      <c r="H4" s="7"/>
      <c r="I4" s="7"/>
      <c r="J4" s="7"/>
      <c r="K4" s="7"/>
      <c r="L4" s="7"/>
      <c r="M4" s="7"/>
      <c r="N4" s="7"/>
      <c r="O4" s="7"/>
      <c r="P4" s="178"/>
      <c r="Q4" s="178"/>
      <c r="R4" s="178"/>
      <c r="S4" s="180"/>
      <c r="T4" s="180"/>
      <c r="U4" s="180"/>
      <c r="V4" s="180"/>
      <c r="W4" s="180"/>
      <c r="X4" s="11"/>
    </row>
    <row r="5" spans="1:25" ht="18.75" hidden="1" x14ac:dyDescent="0.3">
      <c r="F5" s="7"/>
      <c r="G5" s="7"/>
      <c r="H5" s="7"/>
      <c r="I5" s="7"/>
      <c r="J5" s="7"/>
      <c r="K5" s="7"/>
      <c r="L5" s="7"/>
      <c r="M5" s="7"/>
      <c r="N5" s="7"/>
      <c r="O5" s="181"/>
      <c r="P5" s="181"/>
      <c r="Q5" s="181"/>
      <c r="R5" s="181"/>
      <c r="S5" s="12"/>
      <c r="T5" s="182"/>
      <c r="U5" s="182"/>
      <c r="V5" s="182"/>
      <c r="W5" s="182"/>
      <c r="X5" s="11"/>
    </row>
    <row r="6" spans="1:25" ht="18.75" hidden="1" x14ac:dyDescent="0.3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3"/>
      <c r="U6" s="13"/>
      <c r="V6" s="13"/>
      <c r="W6" s="13"/>
      <c r="X6" s="11"/>
    </row>
    <row r="7" spans="1:25" ht="18.75" x14ac:dyDescent="0.3"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3"/>
      <c r="U7" s="9"/>
      <c r="V7" s="9"/>
      <c r="W7" s="9"/>
      <c r="X7" s="9"/>
    </row>
    <row r="8" spans="1:25" ht="100.5" customHeight="1" x14ac:dyDescent="0.3"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83" t="s">
        <v>98</v>
      </c>
      <c r="T8" s="183"/>
      <c r="U8" s="183"/>
      <c r="V8" s="183"/>
      <c r="W8" s="183"/>
      <c r="X8" s="183"/>
    </row>
    <row r="9" spans="1:25" ht="18.75" x14ac:dyDescent="0.3"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3"/>
      <c r="U9" s="13"/>
      <c r="V9" s="13"/>
      <c r="W9" s="13"/>
      <c r="X9" s="11"/>
    </row>
    <row r="10" spans="1:25" ht="18" customHeight="1" x14ac:dyDescent="0.25">
      <c r="B10" s="176" t="s">
        <v>83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</row>
    <row r="11" spans="1:25" ht="6" customHeight="1" x14ac:dyDescent="0.25"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</row>
    <row r="12" spans="1:25" ht="18" customHeight="1" x14ac:dyDescent="0.25"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</row>
    <row r="13" spans="1:25" ht="18" customHeight="1" x14ac:dyDescent="0.25"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</row>
    <row r="14" spans="1:25" ht="5.25" customHeight="1" x14ac:dyDescent="0.25"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</row>
    <row r="15" spans="1:25" ht="37.5" customHeight="1" x14ac:dyDescent="0.3">
      <c r="A15" s="172"/>
      <c r="B15" s="172"/>
      <c r="C15" s="119"/>
      <c r="D15" s="119"/>
      <c r="E15" s="119"/>
      <c r="F15" s="173" t="s">
        <v>36</v>
      </c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20"/>
      <c r="U15" s="120"/>
      <c r="V15" s="120"/>
      <c r="W15" s="120"/>
      <c r="X15" s="19"/>
    </row>
    <row r="16" spans="1:25" ht="41.25" customHeight="1" x14ac:dyDescent="0.25">
      <c r="A16" s="174" t="s">
        <v>37</v>
      </c>
      <c r="B16" s="174" t="s">
        <v>2</v>
      </c>
      <c r="C16" s="159" t="s">
        <v>38</v>
      </c>
      <c r="D16" s="159" t="s">
        <v>39</v>
      </c>
      <c r="E16" s="159" t="s">
        <v>40</v>
      </c>
      <c r="F16" s="171" t="s">
        <v>41</v>
      </c>
      <c r="G16" s="171"/>
      <c r="H16" s="158" t="s">
        <v>42</v>
      </c>
      <c r="I16" s="158" t="s">
        <v>43</v>
      </c>
      <c r="J16" s="159" t="s">
        <v>44</v>
      </c>
      <c r="K16" s="158" t="s">
        <v>45</v>
      </c>
      <c r="L16" s="158" t="s">
        <v>46</v>
      </c>
      <c r="M16" s="158"/>
      <c r="N16" s="158" t="s">
        <v>47</v>
      </c>
      <c r="O16" s="171" t="s">
        <v>48</v>
      </c>
      <c r="P16" s="171"/>
      <c r="Q16" s="171"/>
      <c r="R16" s="171"/>
      <c r="S16" s="171"/>
      <c r="T16" s="171"/>
      <c r="U16" s="158" t="s">
        <v>49</v>
      </c>
      <c r="V16" s="158" t="s">
        <v>50</v>
      </c>
      <c r="W16" s="158" t="s">
        <v>51</v>
      </c>
      <c r="X16" s="159" t="s">
        <v>52</v>
      </c>
    </row>
    <row r="17" spans="1:26" ht="176.25" customHeight="1" x14ac:dyDescent="0.25">
      <c r="A17" s="175"/>
      <c r="B17" s="175"/>
      <c r="C17" s="170"/>
      <c r="D17" s="170"/>
      <c r="E17" s="170"/>
      <c r="F17" s="133" t="s">
        <v>53</v>
      </c>
      <c r="G17" s="133" t="s">
        <v>54</v>
      </c>
      <c r="H17" s="159"/>
      <c r="I17" s="159"/>
      <c r="J17" s="170"/>
      <c r="K17" s="159"/>
      <c r="L17" s="132" t="s">
        <v>55</v>
      </c>
      <c r="M17" s="121" t="s">
        <v>56</v>
      </c>
      <c r="N17" s="159"/>
      <c r="O17" s="132" t="s">
        <v>55</v>
      </c>
      <c r="P17" s="133" t="s">
        <v>57</v>
      </c>
      <c r="Q17" s="133" t="s">
        <v>58</v>
      </c>
      <c r="R17" s="133" t="s">
        <v>59</v>
      </c>
      <c r="S17" s="133" t="s">
        <v>60</v>
      </c>
      <c r="T17" s="134" t="s">
        <v>61</v>
      </c>
      <c r="U17" s="159"/>
      <c r="V17" s="159"/>
      <c r="W17" s="159"/>
      <c r="X17" s="160"/>
      <c r="Y17" s="15"/>
      <c r="Z17" s="15"/>
    </row>
    <row r="18" spans="1:26" ht="24" customHeight="1" x14ac:dyDescent="0.25">
      <c r="A18" s="135">
        <v>1</v>
      </c>
      <c r="B18" s="135">
        <v>2</v>
      </c>
      <c r="C18" s="136">
        <v>3</v>
      </c>
      <c r="D18" s="136">
        <v>4</v>
      </c>
      <c r="E18" s="136">
        <v>5</v>
      </c>
      <c r="F18" s="136">
        <v>6</v>
      </c>
      <c r="G18" s="136">
        <v>7</v>
      </c>
      <c r="H18" s="136">
        <v>8</v>
      </c>
      <c r="I18" s="136">
        <v>9</v>
      </c>
      <c r="J18" s="136">
        <v>10</v>
      </c>
      <c r="K18" s="136">
        <v>11</v>
      </c>
      <c r="L18" s="135">
        <v>12</v>
      </c>
      <c r="M18" s="136">
        <v>13</v>
      </c>
      <c r="N18" s="136">
        <v>14</v>
      </c>
      <c r="O18" s="135">
        <v>15</v>
      </c>
      <c r="P18" s="136">
        <v>16</v>
      </c>
      <c r="Q18" s="136">
        <v>17</v>
      </c>
      <c r="R18" s="136">
        <v>18</v>
      </c>
      <c r="S18" s="136">
        <v>19</v>
      </c>
      <c r="T18" s="136">
        <v>20</v>
      </c>
      <c r="U18" s="136">
        <v>21</v>
      </c>
      <c r="V18" s="136">
        <v>22</v>
      </c>
      <c r="W18" s="136">
        <v>23</v>
      </c>
      <c r="X18" s="136">
        <v>24</v>
      </c>
    </row>
    <row r="19" spans="1:26" ht="21.95" customHeight="1" x14ac:dyDescent="0.25">
      <c r="A19" s="161">
        <v>2023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3"/>
    </row>
    <row r="20" spans="1:26" ht="21.95" customHeight="1" x14ac:dyDescent="0.3">
      <c r="A20" s="88">
        <v>1</v>
      </c>
      <c r="B20" s="104" t="s">
        <v>33</v>
      </c>
      <c r="C20" s="103" t="s">
        <v>62</v>
      </c>
      <c r="D20" s="103" t="s">
        <v>63</v>
      </c>
      <c r="E20" s="103"/>
      <c r="F20" s="88">
        <v>1956</v>
      </c>
      <c r="G20" s="103">
        <v>2010</v>
      </c>
      <c r="H20" s="105" t="s">
        <v>64</v>
      </c>
      <c r="I20" s="105">
        <v>5</v>
      </c>
      <c r="J20" s="105">
        <v>4</v>
      </c>
      <c r="K20" s="128">
        <v>4640.1000000000004</v>
      </c>
      <c r="L20" s="129">
        <v>4225.7</v>
      </c>
      <c r="M20" s="128">
        <v>3301.6</v>
      </c>
      <c r="N20" s="130">
        <v>75</v>
      </c>
      <c r="O20" s="87">
        <f>'Разд 2'!C10</f>
        <v>33736974.100000001</v>
      </c>
      <c r="P20" s="89"/>
      <c r="Q20" s="89"/>
      <c r="R20" s="89"/>
      <c r="S20" s="86">
        <f t="shared" ref="S20:S21" si="0">O20</f>
        <v>33736974.100000001</v>
      </c>
      <c r="T20" s="89"/>
      <c r="U20" s="91">
        <f t="shared" ref="U20" si="1">S20/K20</f>
        <v>7270.74</v>
      </c>
      <c r="V20" s="86">
        <v>11371.98</v>
      </c>
      <c r="W20" s="92" t="s">
        <v>88</v>
      </c>
      <c r="X20" s="92" t="s">
        <v>88</v>
      </c>
    </row>
    <row r="21" spans="1:26" s="20" customFormat="1" ht="21.95" customHeight="1" x14ac:dyDescent="0.35">
      <c r="A21" s="106"/>
      <c r="B21" s="122" t="s">
        <v>84</v>
      </c>
      <c r="C21" s="123"/>
      <c r="D21" s="123"/>
      <c r="E21" s="123"/>
      <c r="F21" s="123"/>
      <c r="G21" s="123"/>
      <c r="H21" s="123"/>
      <c r="I21" s="123"/>
      <c r="J21" s="123"/>
      <c r="K21" s="124">
        <f>SUM(K20)</f>
        <v>4640.1000000000004</v>
      </c>
      <c r="L21" s="124">
        <f>SUM(L20)</f>
        <v>4225.7</v>
      </c>
      <c r="M21" s="124">
        <f>SUM(M20)</f>
        <v>3301.6</v>
      </c>
      <c r="N21" s="124">
        <f>SUM(N20:N20)</f>
        <v>75</v>
      </c>
      <c r="O21" s="124">
        <f>'Разд 2'!C11</f>
        <v>33736974.100000001</v>
      </c>
      <c r="P21" s="124"/>
      <c r="Q21" s="124"/>
      <c r="R21" s="124"/>
      <c r="S21" s="124">
        <f t="shared" si="0"/>
        <v>33736974.100000001</v>
      </c>
      <c r="T21" s="124"/>
      <c r="U21" s="124"/>
      <c r="V21" s="124"/>
      <c r="W21" s="116"/>
      <c r="X21" s="116"/>
      <c r="Z21" s="138"/>
    </row>
    <row r="22" spans="1:26" ht="21.95" customHeight="1" x14ac:dyDescent="0.3">
      <c r="A22" s="164">
        <v>2024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6"/>
      <c r="Y22" s="21"/>
    </row>
    <row r="23" spans="1:26" ht="21.95" customHeight="1" x14ac:dyDescent="0.3">
      <c r="A23" s="88">
        <v>1</v>
      </c>
      <c r="B23" s="104" t="s">
        <v>33</v>
      </c>
      <c r="C23" s="103" t="s">
        <v>62</v>
      </c>
      <c r="D23" s="103" t="s">
        <v>63</v>
      </c>
      <c r="E23" s="103"/>
      <c r="F23" s="88">
        <v>1956</v>
      </c>
      <c r="G23" s="103">
        <v>2010</v>
      </c>
      <c r="H23" s="105" t="s">
        <v>64</v>
      </c>
      <c r="I23" s="105">
        <v>5</v>
      </c>
      <c r="J23" s="105">
        <v>4</v>
      </c>
      <c r="K23" s="128">
        <v>4640.1000000000004</v>
      </c>
      <c r="L23" s="129">
        <v>4225.7</v>
      </c>
      <c r="M23" s="128">
        <v>3301.6</v>
      </c>
      <c r="N23" s="130">
        <v>75</v>
      </c>
      <c r="O23" s="87">
        <f>'Разд 2'!C13</f>
        <v>14735539.25</v>
      </c>
      <c r="P23" s="89"/>
      <c r="Q23" s="89"/>
      <c r="R23" s="89"/>
      <c r="S23" s="86">
        <f t="shared" ref="S23:S27" si="2">O23</f>
        <v>14735539.25</v>
      </c>
      <c r="T23" s="89"/>
      <c r="U23" s="91">
        <f t="shared" ref="U23:U27" si="3">S23/K23</f>
        <v>3175.69</v>
      </c>
      <c r="V23" s="86">
        <v>11371.98</v>
      </c>
      <c r="W23" s="92" t="s">
        <v>89</v>
      </c>
      <c r="X23" s="92" t="s">
        <v>89</v>
      </c>
    </row>
    <row r="24" spans="1:26" ht="21.95" customHeight="1" x14ac:dyDescent="0.3">
      <c r="A24" s="88">
        <v>2</v>
      </c>
      <c r="B24" s="139" t="s">
        <v>78</v>
      </c>
      <c r="C24" s="103" t="s">
        <v>62</v>
      </c>
      <c r="D24" s="103" t="s">
        <v>63</v>
      </c>
      <c r="E24" s="103"/>
      <c r="F24" s="88">
        <v>1959</v>
      </c>
      <c r="G24" s="103"/>
      <c r="H24" s="105" t="s">
        <v>64</v>
      </c>
      <c r="I24" s="105">
        <v>5</v>
      </c>
      <c r="J24" s="105">
        <v>4</v>
      </c>
      <c r="K24" s="126">
        <v>6109.1</v>
      </c>
      <c r="L24" s="126">
        <v>5569.2</v>
      </c>
      <c r="M24" s="126">
        <v>4491.3999999999996</v>
      </c>
      <c r="N24" s="126">
        <v>132</v>
      </c>
      <c r="O24" s="87">
        <f>'Разд 2'!C14</f>
        <v>21792379.010000002</v>
      </c>
      <c r="P24" s="89"/>
      <c r="Q24" s="89"/>
      <c r="R24" s="89"/>
      <c r="S24" s="86">
        <f t="shared" si="2"/>
        <v>21792379.010000002</v>
      </c>
      <c r="T24" s="89"/>
      <c r="U24" s="91">
        <f t="shared" si="3"/>
        <v>3567.2</v>
      </c>
      <c r="V24" s="86">
        <v>11371.98</v>
      </c>
      <c r="W24" s="92" t="s">
        <v>89</v>
      </c>
      <c r="X24" s="92" t="s">
        <v>89</v>
      </c>
    </row>
    <row r="25" spans="1:26" ht="21.95" customHeight="1" x14ac:dyDescent="0.3">
      <c r="A25" s="88">
        <v>3</v>
      </c>
      <c r="B25" s="104" t="s">
        <v>79</v>
      </c>
      <c r="C25" s="103" t="s">
        <v>62</v>
      </c>
      <c r="D25" s="103" t="s">
        <v>63</v>
      </c>
      <c r="E25" s="100"/>
      <c r="F25" s="88">
        <v>1960</v>
      </c>
      <c r="G25" s="100"/>
      <c r="H25" s="105" t="s">
        <v>64</v>
      </c>
      <c r="I25" s="88">
        <v>5</v>
      </c>
      <c r="J25" s="88">
        <v>2</v>
      </c>
      <c r="K25" s="101">
        <v>1740.2</v>
      </c>
      <c r="L25" s="101">
        <v>1593.1</v>
      </c>
      <c r="M25" s="101">
        <v>1593.1</v>
      </c>
      <c r="N25" s="101">
        <v>59</v>
      </c>
      <c r="O25" s="87">
        <f>'Разд 2'!C15</f>
        <v>5848870.3799999999</v>
      </c>
      <c r="P25" s="89"/>
      <c r="Q25" s="89"/>
      <c r="R25" s="89"/>
      <c r="S25" s="86">
        <f t="shared" si="2"/>
        <v>5848870.3799999999</v>
      </c>
      <c r="T25" s="89"/>
      <c r="U25" s="91">
        <f t="shared" si="3"/>
        <v>3361.03</v>
      </c>
      <c r="V25" s="86">
        <v>11371.98</v>
      </c>
      <c r="W25" s="92" t="s">
        <v>89</v>
      </c>
      <c r="X25" s="92" t="s">
        <v>89</v>
      </c>
    </row>
    <row r="26" spans="1:26" ht="21.95" customHeight="1" x14ac:dyDescent="0.3">
      <c r="A26" s="88">
        <v>4</v>
      </c>
      <c r="B26" s="104" t="s">
        <v>81</v>
      </c>
      <c r="C26" s="103" t="s">
        <v>62</v>
      </c>
      <c r="D26" s="103" t="s">
        <v>63</v>
      </c>
      <c r="E26" s="103"/>
      <c r="F26" s="103">
        <v>1961</v>
      </c>
      <c r="G26" s="103"/>
      <c r="H26" s="105" t="s">
        <v>64</v>
      </c>
      <c r="I26" s="103">
        <v>5</v>
      </c>
      <c r="J26" s="103">
        <v>2</v>
      </c>
      <c r="K26" s="86">
        <v>1666.4</v>
      </c>
      <c r="L26" s="87">
        <v>1490.9</v>
      </c>
      <c r="M26" s="86">
        <v>1490.9</v>
      </c>
      <c r="N26" s="86">
        <v>48</v>
      </c>
      <c r="O26" s="87">
        <f>'Разд 2'!C16</f>
        <v>11684361.460000001</v>
      </c>
      <c r="P26" s="89"/>
      <c r="Q26" s="89"/>
      <c r="R26" s="89"/>
      <c r="S26" s="86">
        <f t="shared" si="2"/>
        <v>11684361.460000001</v>
      </c>
      <c r="T26" s="89"/>
      <c r="U26" s="91">
        <f t="shared" si="3"/>
        <v>7011.74</v>
      </c>
      <c r="V26" s="86">
        <v>11371.98</v>
      </c>
      <c r="W26" s="92" t="s">
        <v>89</v>
      </c>
      <c r="X26" s="92" t="s">
        <v>89</v>
      </c>
    </row>
    <row r="27" spans="1:26" s="19" customFormat="1" ht="21.95" customHeight="1" x14ac:dyDescent="0.3">
      <c r="A27" s="88">
        <v>5</v>
      </c>
      <c r="B27" s="104" t="s">
        <v>34</v>
      </c>
      <c r="C27" s="103" t="s">
        <v>62</v>
      </c>
      <c r="D27" s="103" t="s">
        <v>63</v>
      </c>
      <c r="E27" s="103"/>
      <c r="F27" s="103">
        <v>1949</v>
      </c>
      <c r="G27" s="103">
        <v>2021</v>
      </c>
      <c r="H27" s="105" t="s">
        <v>64</v>
      </c>
      <c r="I27" s="92" t="s">
        <v>87</v>
      </c>
      <c r="J27" s="103">
        <v>5</v>
      </c>
      <c r="K27" s="87">
        <v>6197</v>
      </c>
      <c r="L27" s="87">
        <v>4215.3999999999996</v>
      </c>
      <c r="M27" s="87">
        <v>4215.3999999999996</v>
      </c>
      <c r="N27" s="127">
        <v>122</v>
      </c>
      <c r="O27" s="87">
        <f>'Разд 2'!C17</f>
        <v>14699621.880000001</v>
      </c>
      <c r="P27" s="89"/>
      <c r="Q27" s="89"/>
      <c r="R27" s="89"/>
      <c r="S27" s="86">
        <f t="shared" si="2"/>
        <v>14699621.880000001</v>
      </c>
      <c r="T27" s="89"/>
      <c r="U27" s="91">
        <f t="shared" si="3"/>
        <v>2372.0500000000002</v>
      </c>
      <c r="V27" s="86">
        <v>11371.98</v>
      </c>
      <c r="W27" s="92" t="s">
        <v>89</v>
      </c>
      <c r="X27" s="92" t="s">
        <v>89</v>
      </c>
      <c r="Z27" s="93"/>
    </row>
    <row r="28" spans="1:26" s="24" customFormat="1" ht="21.95" customHeight="1" x14ac:dyDescent="0.35">
      <c r="A28" s="106">
        <v>6</v>
      </c>
      <c r="B28" s="107" t="s">
        <v>85</v>
      </c>
      <c r="C28" s="106"/>
      <c r="D28" s="106"/>
      <c r="E28" s="106"/>
      <c r="F28" s="108"/>
      <c r="G28" s="109"/>
      <c r="H28" s="110"/>
      <c r="I28" s="111"/>
      <c r="J28" s="111"/>
      <c r="K28" s="112">
        <f>SUM(K23:K27)</f>
        <v>20352.8</v>
      </c>
      <c r="L28" s="112">
        <f>SUM(L23:L27)</f>
        <v>17094.3</v>
      </c>
      <c r="M28" s="112">
        <f>SUM(M23:M27)</f>
        <v>15092.4</v>
      </c>
      <c r="N28" s="112">
        <f>SUM(N23:N27)</f>
        <v>436</v>
      </c>
      <c r="O28" s="113">
        <f>'Разд 2'!C18</f>
        <v>68760771.980000004</v>
      </c>
      <c r="P28" s="114"/>
      <c r="Q28" s="114"/>
      <c r="R28" s="114"/>
      <c r="S28" s="113">
        <f t="shared" ref="S28" si="4">O28</f>
        <v>68760771.980000004</v>
      </c>
      <c r="T28" s="115"/>
      <c r="U28" s="110"/>
      <c r="V28" s="110"/>
      <c r="W28" s="116"/>
      <c r="X28" s="116"/>
      <c r="Y28" s="23"/>
      <c r="Z28" s="23"/>
    </row>
    <row r="29" spans="1:26" s="19" customFormat="1" ht="21.95" customHeight="1" x14ac:dyDescent="0.3">
      <c r="A29" s="167">
        <v>2025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9"/>
      <c r="Y29" s="25"/>
      <c r="Z29" s="25"/>
    </row>
    <row r="30" spans="1:26" ht="21.95" customHeight="1" x14ac:dyDescent="0.3">
      <c r="A30" s="88">
        <v>1</v>
      </c>
      <c r="B30" s="104" t="s">
        <v>32</v>
      </c>
      <c r="C30" s="103" t="s">
        <v>62</v>
      </c>
      <c r="D30" s="103" t="s">
        <v>63</v>
      </c>
      <c r="E30" s="103"/>
      <c r="F30" s="103">
        <v>1957</v>
      </c>
      <c r="G30" s="103">
        <v>2020</v>
      </c>
      <c r="H30" s="103" t="s">
        <v>64</v>
      </c>
      <c r="I30" s="103">
        <v>4</v>
      </c>
      <c r="J30" s="103">
        <v>4</v>
      </c>
      <c r="K30" s="86">
        <v>3517.1</v>
      </c>
      <c r="L30" s="87">
        <v>3210.5</v>
      </c>
      <c r="M30" s="86">
        <v>2481.9</v>
      </c>
      <c r="N30" s="86">
        <v>68</v>
      </c>
      <c r="O30" s="87">
        <f>'Разд 2'!C20</f>
        <v>6368231.4199999999</v>
      </c>
      <c r="P30" s="89"/>
      <c r="Q30" s="89"/>
      <c r="R30" s="89"/>
      <c r="S30" s="86">
        <f t="shared" ref="S30:S32" si="5">O30</f>
        <v>6368231.4199999999</v>
      </c>
      <c r="T30" s="89"/>
      <c r="U30" s="91">
        <f t="shared" ref="U30:U32" si="6">S30/K30</f>
        <v>1810.65</v>
      </c>
      <c r="V30" s="86">
        <v>12634.74</v>
      </c>
      <c r="W30" s="92" t="s">
        <v>90</v>
      </c>
      <c r="X30" s="92" t="s">
        <v>90</v>
      </c>
    </row>
    <row r="31" spans="1:26" ht="21.95" customHeight="1" x14ac:dyDescent="0.3">
      <c r="A31" s="88">
        <v>2</v>
      </c>
      <c r="B31" s="104" t="s">
        <v>80</v>
      </c>
      <c r="C31" s="103" t="s">
        <v>62</v>
      </c>
      <c r="D31" s="103" t="s">
        <v>63</v>
      </c>
      <c r="E31" s="103"/>
      <c r="F31" s="88">
        <v>1957</v>
      </c>
      <c r="G31" s="103">
        <v>2018</v>
      </c>
      <c r="H31" s="105" t="s">
        <v>64</v>
      </c>
      <c r="I31" s="105">
        <v>4</v>
      </c>
      <c r="J31" s="105">
        <v>3</v>
      </c>
      <c r="K31" s="86">
        <v>2664.5</v>
      </c>
      <c r="L31" s="87">
        <v>2229.8000000000002</v>
      </c>
      <c r="M31" s="86">
        <v>1261</v>
      </c>
      <c r="N31" s="86">
        <v>64</v>
      </c>
      <c r="O31" s="87">
        <f>'Разд 2'!C21</f>
        <v>6992663.7300000004</v>
      </c>
      <c r="P31" s="89"/>
      <c r="Q31" s="89"/>
      <c r="R31" s="89"/>
      <c r="S31" s="86">
        <f t="shared" si="5"/>
        <v>6992663.7300000004</v>
      </c>
      <c r="T31" s="89"/>
      <c r="U31" s="86">
        <f t="shared" si="6"/>
        <v>2624.38</v>
      </c>
      <c r="V31" s="86">
        <v>12634.74</v>
      </c>
      <c r="W31" s="92" t="s">
        <v>90</v>
      </c>
      <c r="X31" s="92" t="s">
        <v>90</v>
      </c>
    </row>
    <row r="32" spans="1:26" ht="21.95" customHeight="1" x14ac:dyDescent="0.3">
      <c r="A32" s="88">
        <v>3</v>
      </c>
      <c r="B32" s="104" t="s">
        <v>31</v>
      </c>
      <c r="C32" s="103" t="s">
        <v>62</v>
      </c>
      <c r="D32" s="103" t="s">
        <v>63</v>
      </c>
      <c r="E32" s="103"/>
      <c r="F32" s="103">
        <v>1957</v>
      </c>
      <c r="G32" s="103">
        <v>2020</v>
      </c>
      <c r="H32" s="105" t="s">
        <v>64</v>
      </c>
      <c r="I32" s="103">
        <v>4</v>
      </c>
      <c r="J32" s="103">
        <v>4</v>
      </c>
      <c r="K32" s="86">
        <v>3634.9</v>
      </c>
      <c r="L32" s="87">
        <v>3301.4</v>
      </c>
      <c r="M32" s="86">
        <v>2996.3</v>
      </c>
      <c r="N32" s="86">
        <v>82</v>
      </c>
      <c r="O32" s="87">
        <f>'Разд 2'!C22</f>
        <v>35226745.25</v>
      </c>
      <c r="P32" s="89"/>
      <c r="Q32" s="89"/>
      <c r="R32" s="89"/>
      <c r="S32" s="86">
        <f t="shared" si="5"/>
        <v>35226745.25</v>
      </c>
      <c r="T32" s="89"/>
      <c r="U32" s="86">
        <f t="shared" si="6"/>
        <v>9691.26</v>
      </c>
      <c r="V32" s="86">
        <v>12634.74</v>
      </c>
      <c r="W32" s="92" t="s">
        <v>90</v>
      </c>
      <c r="X32" s="92" t="s">
        <v>90</v>
      </c>
    </row>
    <row r="33" spans="1:30" s="26" customFormat="1" ht="21.95" customHeight="1" x14ac:dyDescent="0.3">
      <c r="A33" s="88">
        <v>4</v>
      </c>
      <c r="B33" s="104" t="s">
        <v>95</v>
      </c>
      <c r="C33" s="103" t="s">
        <v>62</v>
      </c>
      <c r="D33" s="103" t="s">
        <v>63</v>
      </c>
      <c r="E33" s="103"/>
      <c r="F33" s="88">
        <v>1953</v>
      </c>
      <c r="G33" s="103">
        <v>2017</v>
      </c>
      <c r="H33" s="105" t="s">
        <v>64</v>
      </c>
      <c r="I33" s="105">
        <v>4</v>
      </c>
      <c r="J33" s="105">
        <v>6</v>
      </c>
      <c r="K33" s="86">
        <v>5543.5</v>
      </c>
      <c r="L33" s="87">
        <v>4717.8</v>
      </c>
      <c r="M33" s="86">
        <v>3448.2</v>
      </c>
      <c r="N33" s="86">
        <v>88</v>
      </c>
      <c r="O33" s="87">
        <f>'Разд 2'!C24</f>
        <v>3305643.58</v>
      </c>
      <c r="P33" s="89"/>
      <c r="Q33" s="89"/>
      <c r="R33" s="90"/>
      <c r="S33" s="86">
        <f t="shared" ref="S33:S34" si="7">O33</f>
        <v>3305643.58</v>
      </c>
      <c r="T33" s="89" t="s">
        <v>96</v>
      </c>
      <c r="U33" s="91">
        <f>S33/K33</f>
        <v>596.30999999999995</v>
      </c>
      <c r="V33" s="86">
        <v>12634.74</v>
      </c>
      <c r="W33" s="92" t="s">
        <v>90</v>
      </c>
      <c r="X33" s="92" t="s">
        <v>90</v>
      </c>
      <c r="Y33" s="22"/>
      <c r="Z33" s="22"/>
      <c r="AA33" s="19"/>
      <c r="AB33" s="19"/>
      <c r="AC33" s="19"/>
      <c r="AD33" s="19"/>
    </row>
    <row r="34" spans="1:30" s="19" customFormat="1" ht="21.95" customHeight="1" x14ac:dyDescent="0.3">
      <c r="A34" s="88">
        <v>5</v>
      </c>
      <c r="B34" s="104" t="s">
        <v>34</v>
      </c>
      <c r="C34" s="103" t="s">
        <v>62</v>
      </c>
      <c r="D34" s="103" t="s">
        <v>63</v>
      </c>
      <c r="E34" s="103"/>
      <c r="F34" s="103">
        <v>1949</v>
      </c>
      <c r="G34" s="103">
        <v>2021</v>
      </c>
      <c r="H34" s="105" t="s">
        <v>64</v>
      </c>
      <c r="I34" s="92" t="s">
        <v>87</v>
      </c>
      <c r="J34" s="103">
        <v>5</v>
      </c>
      <c r="K34" s="87">
        <v>6197</v>
      </c>
      <c r="L34" s="87">
        <v>4215.3999999999996</v>
      </c>
      <c r="M34" s="87">
        <v>4215.3999999999996</v>
      </c>
      <c r="N34" s="127">
        <v>122</v>
      </c>
      <c r="O34" s="87">
        <f>'Разд 2'!C23</f>
        <v>6267495.4299999997</v>
      </c>
      <c r="P34" s="89"/>
      <c r="Q34" s="89"/>
      <c r="R34" s="89"/>
      <c r="S34" s="86">
        <f t="shared" si="7"/>
        <v>6267495.4299999997</v>
      </c>
      <c r="T34" s="89"/>
      <c r="U34" s="91">
        <f t="shared" ref="U34" si="8">S34/K34</f>
        <v>1011.38</v>
      </c>
      <c r="V34" s="86">
        <v>11371.98</v>
      </c>
      <c r="W34" s="92" t="s">
        <v>90</v>
      </c>
      <c r="X34" s="92" t="s">
        <v>90</v>
      </c>
      <c r="Z34" s="93"/>
    </row>
    <row r="35" spans="1:30" ht="21.95" customHeight="1" x14ac:dyDescent="0.35">
      <c r="A35" s="106"/>
      <c r="B35" s="122" t="s">
        <v>86</v>
      </c>
      <c r="C35" s="106"/>
      <c r="D35" s="106"/>
      <c r="E35" s="106"/>
      <c r="F35" s="106"/>
      <c r="G35" s="106"/>
      <c r="H35" s="106"/>
      <c r="I35" s="106"/>
      <c r="J35" s="106"/>
      <c r="K35" s="110">
        <f>K30+K31+K32+K33+K34</f>
        <v>21557</v>
      </c>
      <c r="L35" s="110">
        <f>L30+L31+L32+L33+L34</f>
        <v>17674.900000000001</v>
      </c>
      <c r="M35" s="110">
        <f>M30+M31+M32+M33+M34</f>
        <v>14402.8</v>
      </c>
      <c r="N35" s="110">
        <f>N30+N31+N32+N33+N34</f>
        <v>424</v>
      </c>
      <c r="O35" s="110">
        <f>'Разд 2'!C25</f>
        <v>58160779.409999996</v>
      </c>
      <c r="P35" s="110"/>
      <c r="Q35" s="110"/>
      <c r="R35" s="110"/>
      <c r="S35" s="110">
        <f t="shared" ref="S35" si="9">O35</f>
        <v>58160779.409999996</v>
      </c>
      <c r="T35" s="110"/>
      <c r="U35" s="110"/>
      <c r="V35" s="110"/>
      <c r="W35" s="108"/>
      <c r="X35" s="108"/>
      <c r="Y35" s="27"/>
      <c r="Z35" s="27"/>
    </row>
    <row r="36" spans="1:30" ht="18.75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40"/>
      <c r="Y36" s="22"/>
      <c r="Z36" s="28"/>
      <c r="AA36" s="28"/>
    </row>
    <row r="37" spans="1:30" ht="39.75" customHeight="1" x14ac:dyDescent="0.3">
      <c r="A37" s="29"/>
      <c r="B37" s="30"/>
      <c r="C37" s="30"/>
      <c r="D37" s="30"/>
      <c r="E37" s="30"/>
      <c r="F37" s="29"/>
      <c r="G37" s="29"/>
      <c r="H37" s="31"/>
      <c r="I37" s="29"/>
      <c r="J37" s="29"/>
      <c r="K37" s="32"/>
      <c r="L37" s="32"/>
      <c r="M37" s="33"/>
      <c r="N37" s="32"/>
      <c r="O37" s="34"/>
      <c r="P37" s="34"/>
      <c r="Q37" s="34"/>
      <c r="R37" s="34"/>
      <c r="S37" s="34"/>
      <c r="T37" s="28"/>
      <c r="U37" s="35"/>
      <c r="V37" s="34"/>
      <c r="W37" s="36"/>
      <c r="X37" s="36"/>
      <c r="Y37" s="22"/>
      <c r="Z37" s="28"/>
      <c r="AA37" s="28"/>
    </row>
    <row r="38" spans="1:30" s="19" customFormat="1" ht="18.75" x14ac:dyDescent="0.3">
      <c r="A38" s="29"/>
      <c r="B38" s="25"/>
      <c r="C38" s="37"/>
      <c r="D38" s="37"/>
      <c r="E38" s="25"/>
      <c r="F38" s="29"/>
      <c r="G38" s="29"/>
      <c r="H38" s="34"/>
      <c r="I38" s="29"/>
      <c r="J38" s="29"/>
      <c r="K38" s="38"/>
      <c r="L38" s="38"/>
      <c r="M38" s="38"/>
      <c r="N38" s="38"/>
      <c r="O38" s="39"/>
      <c r="P38" s="34"/>
      <c r="Q38" s="34"/>
      <c r="R38" s="34"/>
      <c r="S38" s="39"/>
      <c r="T38" s="28"/>
      <c r="U38" s="35"/>
      <c r="V38" s="34"/>
      <c r="W38" s="36"/>
      <c r="X38" s="36"/>
      <c r="Y38" s="22"/>
      <c r="Z38" s="28"/>
      <c r="AA38" s="28"/>
    </row>
    <row r="39" spans="1:30" s="19" customFormat="1" ht="18.75" x14ac:dyDescent="0.3">
      <c r="A39" s="29"/>
      <c r="B39" s="40"/>
      <c r="C39" s="37"/>
      <c r="D39" s="37"/>
      <c r="E39" s="40"/>
      <c r="F39" s="29"/>
      <c r="G39" s="29"/>
      <c r="H39" s="34"/>
      <c r="I39" s="29"/>
      <c r="J39" s="29"/>
      <c r="K39" s="41"/>
      <c r="L39" s="41"/>
      <c r="M39" s="41"/>
      <c r="N39" s="42"/>
      <c r="O39" s="43"/>
      <c r="P39" s="34"/>
      <c r="Q39" s="34"/>
      <c r="R39" s="34"/>
      <c r="S39" s="43"/>
      <c r="T39" s="28"/>
      <c r="U39" s="35"/>
      <c r="V39" s="34"/>
      <c r="W39" s="36"/>
      <c r="X39" s="36"/>
      <c r="Y39" s="22"/>
      <c r="Z39" s="28"/>
      <c r="AA39" s="28"/>
    </row>
    <row r="40" spans="1:30" s="19" customFormat="1" ht="18.75" x14ac:dyDescent="0.3">
      <c r="A40" s="29"/>
      <c r="B40" s="40"/>
      <c r="C40" s="37"/>
      <c r="D40" s="37"/>
      <c r="E40" s="40"/>
      <c r="F40" s="29"/>
      <c r="G40" s="29"/>
      <c r="H40" s="34"/>
      <c r="I40" s="29"/>
      <c r="J40" s="29"/>
      <c r="K40" s="34"/>
      <c r="L40" s="34"/>
      <c r="M40" s="34"/>
      <c r="N40" s="29"/>
      <c r="O40" s="39"/>
      <c r="P40" s="34"/>
      <c r="Q40" s="34"/>
      <c r="R40" s="34"/>
      <c r="S40" s="39"/>
      <c r="T40" s="28"/>
      <c r="U40" s="35"/>
      <c r="V40" s="34"/>
      <c r="W40" s="36"/>
      <c r="X40" s="36"/>
      <c r="Y40" s="22"/>
      <c r="Z40" s="28"/>
      <c r="AA40" s="28"/>
    </row>
    <row r="41" spans="1:30" s="19" customFormat="1" ht="18.75" x14ac:dyDescent="0.3">
      <c r="A41" s="29"/>
      <c r="B41" s="40"/>
      <c r="C41" s="37"/>
      <c r="D41" s="37"/>
      <c r="E41" s="40"/>
      <c r="F41" s="29"/>
      <c r="G41" s="29"/>
      <c r="H41" s="34"/>
      <c r="I41" s="29"/>
      <c r="J41" s="29"/>
      <c r="K41" s="44"/>
      <c r="L41" s="44"/>
      <c r="M41" s="44"/>
      <c r="N41" s="44"/>
      <c r="O41" s="39"/>
      <c r="P41" s="34"/>
      <c r="Q41" s="34"/>
      <c r="R41" s="34"/>
      <c r="S41" s="39"/>
      <c r="T41" s="28"/>
      <c r="U41" s="35"/>
      <c r="V41" s="34"/>
      <c r="W41" s="36"/>
      <c r="X41" s="36"/>
      <c r="Y41" s="22"/>
      <c r="Z41" s="28"/>
      <c r="AA41" s="28"/>
    </row>
    <row r="42" spans="1:30" ht="18.75" x14ac:dyDescent="0.3">
      <c r="A42" s="29"/>
      <c r="B42" s="40"/>
      <c r="C42" s="37"/>
      <c r="D42" s="37"/>
      <c r="E42" s="40"/>
      <c r="F42" s="29"/>
      <c r="G42" s="29"/>
      <c r="H42" s="34"/>
      <c r="I42" s="29"/>
      <c r="J42" s="29"/>
      <c r="K42" s="44"/>
      <c r="L42" s="44"/>
      <c r="M42" s="44"/>
      <c r="N42" s="44"/>
      <c r="O42" s="45"/>
      <c r="P42" s="34"/>
      <c r="Q42" s="34"/>
      <c r="R42" s="34"/>
      <c r="S42" s="43"/>
      <c r="T42" s="28"/>
      <c r="U42" s="35"/>
      <c r="V42" s="34"/>
      <c r="W42" s="36"/>
      <c r="X42" s="36"/>
      <c r="Y42" s="22"/>
      <c r="Z42" s="28"/>
      <c r="AA42" s="28"/>
    </row>
    <row r="43" spans="1:30" s="19" customFormat="1" ht="18.75" x14ac:dyDescent="0.3">
      <c r="A43" s="29"/>
      <c r="B43" s="40"/>
      <c r="C43" s="37"/>
      <c r="D43" s="37"/>
      <c r="E43" s="40"/>
      <c r="F43" s="29"/>
      <c r="G43" s="29"/>
      <c r="H43" s="34"/>
      <c r="I43" s="29"/>
      <c r="J43" s="29"/>
      <c r="K43" s="44"/>
      <c r="L43" s="44"/>
      <c r="M43" s="44"/>
      <c r="N43" s="44"/>
      <c r="O43" s="39"/>
      <c r="P43" s="34"/>
      <c r="Q43" s="34"/>
      <c r="R43" s="34"/>
      <c r="S43" s="39"/>
      <c r="T43" s="28"/>
      <c r="U43" s="35"/>
      <c r="V43" s="34"/>
      <c r="W43" s="36"/>
      <c r="X43" s="36"/>
      <c r="Y43" s="22"/>
      <c r="Z43" s="28"/>
      <c r="AA43" s="28"/>
    </row>
    <row r="44" spans="1:30" s="19" customFormat="1" ht="18.75" x14ac:dyDescent="0.3">
      <c r="A44" s="29"/>
      <c r="B44" s="40"/>
      <c r="C44" s="37"/>
      <c r="D44" s="37"/>
      <c r="E44" s="37"/>
      <c r="F44" s="29"/>
      <c r="G44" s="29"/>
      <c r="H44" s="34"/>
      <c r="I44" s="29"/>
      <c r="J44" s="29"/>
      <c r="K44" s="34"/>
      <c r="L44" s="34"/>
      <c r="M44" s="34"/>
      <c r="N44" s="29"/>
      <c r="O44" s="43"/>
      <c r="P44" s="34"/>
      <c r="Q44" s="34"/>
      <c r="R44" s="34"/>
      <c r="S44" s="43"/>
      <c r="T44" s="28"/>
      <c r="U44" s="35"/>
      <c r="V44" s="34"/>
      <c r="W44" s="36"/>
      <c r="X44" s="36"/>
      <c r="Y44" s="22"/>
      <c r="Z44" s="28"/>
      <c r="AA44" s="28"/>
    </row>
    <row r="45" spans="1:30" ht="19.5" x14ac:dyDescent="0.35">
      <c r="A45" s="157"/>
      <c r="B45" s="157"/>
      <c r="C45" s="46"/>
      <c r="D45" s="46"/>
      <c r="E45" s="46"/>
      <c r="F45" s="40"/>
      <c r="G45" s="40"/>
      <c r="H45" s="47"/>
      <c r="I45" s="47"/>
      <c r="J45" s="47"/>
      <c r="K45" s="48"/>
      <c r="L45" s="48"/>
      <c r="M45" s="48"/>
      <c r="N45" s="48"/>
      <c r="O45" s="49"/>
      <c r="P45" s="49"/>
      <c r="Q45" s="49"/>
      <c r="R45" s="49"/>
      <c r="S45" s="50"/>
      <c r="T45" s="28"/>
      <c r="U45" s="35"/>
      <c r="V45" s="29"/>
      <c r="W45" s="40"/>
      <c r="X45" s="40"/>
      <c r="Y45" s="22"/>
      <c r="Z45" s="28"/>
      <c r="AA45" s="28"/>
    </row>
    <row r="46" spans="1:30" ht="18.75" x14ac:dyDescent="0.3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28"/>
      <c r="Z46" s="28"/>
      <c r="AA46" s="28"/>
    </row>
    <row r="47" spans="1:30" s="19" customFormat="1" ht="18.75" x14ac:dyDescent="0.3">
      <c r="A47" s="29"/>
      <c r="B47" s="40"/>
      <c r="C47" s="37"/>
      <c r="D47" s="37"/>
      <c r="E47" s="37"/>
      <c r="F47" s="29"/>
      <c r="G47" s="29"/>
      <c r="H47" s="34"/>
      <c r="I47" s="29"/>
      <c r="J47" s="29"/>
      <c r="K47" s="29"/>
      <c r="L47" s="29"/>
      <c r="M47" s="29"/>
      <c r="N47" s="29"/>
      <c r="O47" s="39"/>
      <c r="P47" s="34"/>
      <c r="Q47" s="34"/>
      <c r="R47" s="34"/>
      <c r="S47" s="39"/>
      <c r="T47" s="28"/>
      <c r="U47" s="35"/>
      <c r="V47" s="35"/>
      <c r="W47" s="36"/>
      <c r="X47" s="36"/>
      <c r="Y47" s="22"/>
      <c r="Z47" s="22"/>
      <c r="AA47" s="28"/>
    </row>
    <row r="48" spans="1:30" ht="18.75" x14ac:dyDescent="0.3">
      <c r="A48" s="29"/>
      <c r="B48" s="40"/>
      <c r="C48" s="37"/>
      <c r="D48" s="37"/>
      <c r="E48" s="37"/>
      <c r="F48" s="29"/>
      <c r="G48" s="29"/>
      <c r="H48" s="34"/>
      <c r="I48" s="29"/>
      <c r="J48" s="29"/>
      <c r="K48" s="34"/>
      <c r="L48" s="34"/>
      <c r="M48" s="34"/>
      <c r="N48" s="51"/>
      <c r="O48" s="39"/>
      <c r="P48" s="34"/>
      <c r="Q48" s="34"/>
      <c r="R48" s="34"/>
      <c r="S48" s="34"/>
      <c r="T48" s="28"/>
      <c r="U48" s="35"/>
      <c r="V48" s="34"/>
      <c r="W48" s="36"/>
      <c r="X48" s="36"/>
      <c r="Y48" s="22"/>
      <c r="Z48" s="22"/>
      <c r="AA48" s="28"/>
    </row>
    <row r="49" spans="1:27" ht="18.75" x14ac:dyDescent="0.3">
      <c r="A49" s="29"/>
      <c r="B49" s="52"/>
      <c r="C49" s="37"/>
      <c r="D49" s="37"/>
      <c r="E49" s="37"/>
      <c r="F49" s="51"/>
      <c r="G49" s="53"/>
      <c r="H49" s="34"/>
      <c r="I49" s="51"/>
      <c r="J49" s="51"/>
      <c r="K49" s="54"/>
      <c r="L49" s="54"/>
      <c r="M49" s="54"/>
      <c r="N49" s="51"/>
      <c r="O49" s="34"/>
      <c r="P49" s="34"/>
      <c r="Q49" s="34"/>
      <c r="R49" s="34"/>
      <c r="S49" s="34"/>
      <c r="T49" s="28"/>
      <c r="U49" s="34"/>
      <c r="V49" s="34"/>
      <c r="W49" s="36"/>
      <c r="X49" s="29"/>
      <c r="Y49" s="22"/>
      <c r="Z49" s="22"/>
      <c r="AA49" s="28"/>
    </row>
    <row r="50" spans="1:27" ht="18.75" x14ac:dyDescent="0.3">
      <c r="A50" s="29"/>
      <c r="B50" s="55"/>
      <c r="C50" s="37"/>
      <c r="D50" s="37"/>
      <c r="E50" s="37"/>
      <c r="F50" s="51"/>
      <c r="G50" s="53"/>
      <c r="H50" s="34"/>
      <c r="I50" s="51"/>
      <c r="J50" s="51"/>
      <c r="K50" s="34"/>
      <c r="L50" s="34"/>
      <c r="M50" s="34"/>
      <c r="N50" s="51"/>
      <c r="O50" s="34"/>
      <c r="P50" s="34"/>
      <c r="Q50" s="34"/>
      <c r="R50" s="34"/>
      <c r="S50" s="34"/>
      <c r="T50" s="28"/>
      <c r="U50" s="34"/>
      <c r="V50" s="34"/>
      <c r="W50" s="36"/>
      <c r="X50" s="29"/>
      <c r="Y50" s="22"/>
      <c r="Z50" s="22"/>
      <c r="AA50" s="28"/>
    </row>
    <row r="51" spans="1:27" ht="18.75" x14ac:dyDescent="0.3">
      <c r="A51" s="29"/>
      <c r="B51" s="52"/>
      <c r="C51" s="37"/>
      <c r="D51" s="37"/>
      <c r="E51" s="37"/>
      <c r="F51" s="51"/>
      <c r="G51" s="53"/>
      <c r="H51" s="34"/>
      <c r="I51" s="51"/>
      <c r="J51" s="51"/>
      <c r="K51" s="34"/>
      <c r="L51" s="34"/>
      <c r="M51" s="34"/>
      <c r="N51" s="51"/>
      <c r="O51" s="34"/>
      <c r="P51" s="34"/>
      <c r="Q51" s="34"/>
      <c r="R51" s="34"/>
      <c r="S51" s="34"/>
      <c r="T51" s="28"/>
      <c r="U51" s="34"/>
      <c r="V51" s="34"/>
      <c r="W51" s="36"/>
      <c r="X51" s="29"/>
      <c r="Y51" s="22"/>
      <c r="Z51" s="22"/>
      <c r="AA51" s="28"/>
    </row>
    <row r="52" spans="1:27" ht="18.75" x14ac:dyDescent="0.3">
      <c r="A52" s="29"/>
      <c r="B52" s="40"/>
      <c r="C52" s="37"/>
      <c r="D52" s="37"/>
      <c r="E52" s="37"/>
      <c r="F52" s="29"/>
      <c r="G52" s="29"/>
      <c r="H52" s="34"/>
      <c r="I52" s="29"/>
      <c r="J52" s="29"/>
      <c r="K52" s="34"/>
      <c r="L52" s="34"/>
      <c r="M52" s="34"/>
      <c r="N52" s="29"/>
      <c r="O52" s="56"/>
      <c r="P52" s="34"/>
      <c r="Q52" s="34"/>
      <c r="R52" s="34"/>
      <c r="S52" s="56"/>
      <c r="T52" s="28"/>
      <c r="U52" s="35"/>
      <c r="V52" s="34"/>
      <c r="W52" s="36"/>
      <c r="X52" s="36"/>
      <c r="Y52" s="22"/>
      <c r="Z52" s="22"/>
      <c r="AA52" s="28"/>
    </row>
    <row r="53" spans="1:27" ht="18.75" x14ac:dyDescent="0.3">
      <c r="A53" s="29"/>
      <c r="B53" s="52"/>
      <c r="C53" s="37"/>
      <c r="D53" s="37"/>
      <c r="E53" s="37"/>
      <c r="F53" s="51"/>
      <c r="G53" s="53"/>
      <c r="H53" s="34"/>
      <c r="I53" s="51"/>
      <c r="J53" s="51"/>
      <c r="K53" s="34"/>
      <c r="L53" s="34"/>
      <c r="M53" s="34"/>
      <c r="N53" s="51"/>
      <c r="O53" s="34"/>
      <c r="P53" s="34"/>
      <c r="Q53" s="34"/>
      <c r="R53" s="34"/>
      <c r="S53" s="34"/>
      <c r="T53" s="28"/>
      <c r="U53" s="34"/>
      <c r="V53" s="34"/>
      <c r="W53" s="36"/>
      <c r="X53" s="29"/>
      <c r="Y53" s="22"/>
      <c r="Z53" s="22"/>
      <c r="AA53" s="28"/>
    </row>
    <row r="54" spans="1:27" ht="19.5" x14ac:dyDescent="0.35">
      <c r="A54" s="157"/>
      <c r="B54" s="157"/>
      <c r="C54" s="49"/>
      <c r="D54" s="49"/>
      <c r="E54" s="49"/>
      <c r="F54" s="40"/>
      <c r="G54" s="40"/>
      <c r="H54" s="47"/>
      <c r="I54" s="47"/>
      <c r="J54" s="47"/>
      <c r="K54" s="48"/>
      <c r="L54" s="48"/>
      <c r="M54" s="48"/>
      <c r="N54" s="48"/>
      <c r="O54" s="49"/>
      <c r="P54" s="49"/>
      <c r="Q54" s="49"/>
      <c r="R54" s="49"/>
      <c r="S54" s="49"/>
      <c r="T54" s="28"/>
      <c r="U54" s="35"/>
      <c r="V54" s="29"/>
      <c r="W54" s="40"/>
      <c r="X54" s="40"/>
      <c r="Y54" s="22"/>
      <c r="Z54" s="28"/>
      <c r="AA54" s="28"/>
    </row>
    <row r="55" spans="1:27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</sheetData>
  <mergeCells count="35">
    <mergeCell ref="B10:W14"/>
    <mergeCell ref="V1:X1"/>
    <mergeCell ref="P2:R2"/>
    <mergeCell ref="T2:X2"/>
    <mergeCell ref="T3:W3"/>
    <mergeCell ref="P4:R4"/>
    <mergeCell ref="S4:W4"/>
    <mergeCell ref="O5:R5"/>
    <mergeCell ref="T5:W5"/>
    <mergeCell ref="S8:X8"/>
    <mergeCell ref="A15:B15"/>
    <mergeCell ref="F15:S15"/>
    <mergeCell ref="A16:A17"/>
    <mergeCell ref="B16:B17"/>
    <mergeCell ref="C16:C17"/>
    <mergeCell ref="D16:D17"/>
    <mergeCell ref="E16:E17"/>
    <mergeCell ref="F16:G16"/>
    <mergeCell ref="H16:H17"/>
    <mergeCell ref="I16:I17"/>
    <mergeCell ref="X16:X17"/>
    <mergeCell ref="A19:X19"/>
    <mergeCell ref="A22:X22"/>
    <mergeCell ref="A29:X29"/>
    <mergeCell ref="J16:J17"/>
    <mergeCell ref="K16:K17"/>
    <mergeCell ref="L16:M16"/>
    <mergeCell ref="N16:N17"/>
    <mergeCell ref="O16:T16"/>
    <mergeCell ref="U16:U17"/>
    <mergeCell ref="A36:W36"/>
    <mergeCell ref="A45:B45"/>
    <mergeCell ref="A54:B54"/>
    <mergeCell ref="V16:V17"/>
    <mergeCell ref="W16:W1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42"/>
  <sheetViews>
    <sheetView view="pageBreakPreview" zoomScale="30" zoomScaleNormal="100" zoomScaleSheetLayoutView="30" zoomScalePageLayoutView="48" workbookViewId="0">
      <selection activeCell="C21" sqref="C21"/>
    </sheetView>
  </sheetViews>
  <sheetFormatPr defaultRowHeight="26.25" x14ac:dyDescent="0.4"/>
  <cols>
    <col min="1" max="1" width="8.42578125" style="1" customWidth="1"/>
    <col min="2" max="2" width="47" style="1" customWidth="1"/>
    <col min="3" max="3" width="37.85546875" style="1" customWidth="1"/>
    <col min="4" max="4" width="36" style="1" customWidth="1"/>
    <col min="5" max="6" width="37" style="1" bestFit="1" customWidth="1"/>
    <col min="7" max="7" width="38.140625" style="1" customWidth="1"/>
    <col min="8" max="8" width="36.7109375" style="1" customWidth="1"/>
    <col min="9" max="9" width="14.7109375" style="1" customWidth="1"/>
    <col min="10" max="10" width="32" style="1" customWidth="1"/>
    <col min="11" max="11" width="14.42578125" style="1" customWidth="1"/>
    <col min="12" max="12" width="15.140625" style="1" customWidth="1"/>
    <col min="13" max="13" width="14.7109375" style="1" customWidth="1"/>
    <col min="14" max="14" width="15" style="1" customWidth="1"/>
    <col min="15" max="15" width="33.42578125" style="1" customWidth="1"/>
    <col min="16" max="16" width="18.85546875" style="1" customWidth="1"/>
    <col min="17" max="17" width="34.7109375" style="1" customWidth="1"/>
    <col min="18" max="18" width="17.5703125" style="1" customWidth="1"/>
    <col min="19" max="19" width="36.28515625" style="1" bestFit="1" customWidth="1"/>
    <col min="20" max="20" width="16.140625" style="1" customWidth="1"/>
    <col min="21" max="21" width="33.85546875" style="1" customWidth="1"/>
    <col min="22" max="22" width="34.7109375" style="1" customWidth="1"/>
    <col min="23" max="25" width="14.7109375" style="1" bestFit="1" customWidth="1"/>
    <col min="26" max="26" width="34.28515625" style="1" customWidth="1"/>
    <col min="27" max="27" width="17.28515625" style="1" customWidth="1"/>
    <col min="28" max="28" width="34" style="1" customWidth="1"/>
    <col min="29" max="29" width="28.28515625" style="1" customWidth="1"/>
    <col min="30" max="30" width="39.140625" style="1" hidden="1" customWidth="1"/>
    <col min="31" max="16384" width="9.140625" style="1"/>
  </cols>
  <sheetData>
    <row r="2" spans="1:30" x14ac:dyDescent="0.4"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0" x14ac:dyDescent="0.4">
      <c r="A3" s="202" t="s">
        <v>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3"/>
      <c r="W3" s="203"/>
      <c r="X3" s="203"/>
      <c r="Y3" s="203"/>
      <c r="Z3" s="203"/>
      <c r="AA3" s="203"/>
      <c r="AB3" s="203"/>
    </row>
    <row r="4" spans="1:30" x14ac:dyDescent="0.4">
      <c r="A4" s="204" t="s">
        <v>1</v>
      </c>
      <c r="B4" s="204" t="s">
        <v>2</v>
      </c>
      <c r="C4" s="205" t="s">
        <v>3</v>
      </c>
      <c r="D4" s="208" t="s">
        <v>4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 t="s">
        <v>5</v>
      </c>
      <c r="W4" s="208"/>
      <c r="X4" s="208"/>
      <c r="Y4" s="208"/>
      <c r="Z4" s="208"/>
      <c r="AA4" s="208"/>
      <c r="AB4" s="208"/>
      <c r="AC4" s="208"/>
    </row>
    <row r="5" spans="1:30" x14ac:dyDescent="0.4">
      <c r="A5" s="204"/>
      <c r="B5" s="204"/>
      <c r="C5" s="206"/>
      <c r="D5" s="209" t="s">
        <v>6</v>
      </c>
      <c r="E5" s="210"/>
      <c r="F5" s="210"/>
      <c r="G5" s="210"/>
      <c r="H5" s="210"/>
      <c r="I5" s="210"/>
      <c r="J5" s="210"/>
      <c r="K5" s="211"/>
      <c r="L5" s="195" t="s">
        <v>7</v>
      </c>
      <c r="M5" s="196"/>
      <c r="N5" s="195" t="s">
        <v>8</v>
      </c>
      <c r="O5" s="196"/>
      <c r="P5" s="195" t="s">
        <v>9</v>
      </c>
      <c r="Q5" s="196"/>
      <c r="R5" s="195" t="s">
        <v>10</v>
      </c>
      <c r="S5" s="196"/>
      <c r="T5" s="195" t="s">
        <v>11</v>
      </c>
      <c r="U5" s="196"/>
      <c r="V5" s="186" t="s">
        <v>12</v>
      </c>
      <c r="W5" s="199" t="s">
        <v>13</v>
      </c>
      <c r="X5" s="200"/>
      <c r="Y5" s="199" t="s">
        <v>14</v>
      </c>
      <c r="Z5" s="200"/>
      <c r="AA5" s="186" t="s">
        <v>15</v>
      </c>
      <c r="AB5" s="186" t="s">
        <v>16</v>
      </c>
      <c r="AC5" s="188" t="s">
        <v>17</v>
      </c>
    </row>
    <row r="6" spans="1:30" ht="258.75" x14ac:dyDescent="0.4">
      <c r="A6" s="204"/>
      <c r="B6" s="204"/>
      <c r="C6" s="207"/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197"/>
      <c r="M6" s="198"/>
      <c r="N6" s="197"/>
      <c r="O6" s="198"/>
      <c r="P6" s="197"/>
      <c r="Q6" s="198"/>
      <c r="R6" s="197"/>
      <c r="S6" s="198"/>
      <c r="T6" s="197"/>
      <c r="U6" s="198"/>
      <c r="V6" s="187"/>
      <c r="W6" s="197"/>
      <c r="X6" s="198"/>
      <c r="Y6" s="197"/>
      <c r="Z6" s="198"/>
      <c r="AA6" s="187"/>
      <c r="AB6" s="187"/>
      <c r="AC6" s="188"/>
    </row>
    <row r="7" spans="1:30" x14ac:dyDescent="0.4">
      <c r="A7" s="204"/>
      <c r="B7" s="204"/>
      <c r="C7" s="118" t="s">
        <v>26</v>
      </c>
      <c r="D7" s="118" t="s">
        <v>26</v>
      </c>
      <c r="E7" s="118" t="s">
        <v>26</v>
      </c>
      <c r="F7" s="118" t="s">
        <v>26</v>
      </c>
      <c r="G7" s="118" t="s">
        <v>26</v>
      </c>
      <c r="H7" s="118" t="s">
        <v>26</v>
      </c>
      <c r="I7" s="118" t="s">
        <v>26</v>
      </c>
      <c r="J7" s="118" t="s">
        <v>26</v>
      </c>
      <c r="K7" s="118" t="s">
        <v>26</v>
      </c>
      <c r="L7" s="118" t="s">
        <v>27</v>
      </c>
      <c r="M7" s="118" t="s">
        <v>26</v>
      </c>
      <c r="N7" s="118" t="s">
        <v>28</v>
      </c>
      <c r="O7" s="118" t="s">
        <v>26</v>
      </c>
      <c r="P7" s="118" t="s">
        <v>28</v>
      </c>
      <c r="Q7" s="118" t="s">
        <v>26</v>
      </c>
      <c r="R7" s="118" t="s">
        <v>28</v>
      </c>
      <c r="S7" s="118" t="s">
        <v>26</v>
      </c>
      <c r="T7" s="118" t="s">
        <v>29</v>
      </c>
      <c r="U7" s="118" t="s">
        <v>26</v>
      </c>
      <c r="V7" s="118" t="s">
        <v>26</v>
      </c>
      <c r="W7" s="118" t="s">
        <v>28</v>
      </c>
      <c r="X7" s="118" t="s">
        <v>26</v>
      </c>
      <c r="Y7" s="118" t="s">
        <v>28</v>
      </c>
      <c r="Z7" s="118" t="s">
        <v>26</v>
      </c>
      <c r="AA7" s="118" t="s">
        <v>26</v>
      </c>
      <c r="AB7" s="118" t="s">
        <v>30</v>
      </c>
      <c r="AC7" s="5" t="s">
        <v>26</v>
      </c>
    </row>
    <row r="8" spans="1:30" x14ac:dyDescent="0.4">
      <c r="A8" s="99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99">
        <v>17</v>
      </c>
      <c r="R8" s="99">
        <v>18</v>
      </c>
      <c r="S8" s="99">
        <v>19</v>
      </c>
      <c r="T8" s="99">
        <v>20</v>
      </c>
      <c r="U8" s="99">
        <v>21</v>
      </c>
      <c r="V8" s="99">
        <v>22</v>
      </c>
      <c r="W8" s="99">
        <v>23</v>
      </c>
      <c r="X8" s="99">
        <v>24</v>
      </c>
      <c r="Y8" s="99">
        <v>25</v>
      </c>
      <c r="Z8" s="99">
        <v>26</v>
      </c>
      <c r="AA8" s="99">
        <v>27</v>
      </c>
      <c r="AB8" s="99">
        <v>28</v>
      </c>
      <c r="AC8" s="5">
        <v>29</v>
      </c>
    </row>
    <row r="9" spans="1:30" s="2" customFormat="1" ht="55.5" customHeight="1" x14ac:dyDescent="0.4">
      <c r="A9" s="189">
        <v>2023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1"/>
    </row>
    <row r="10" spans="1:30" s="2" customFormat="1" ht="56.25" customHeight="1" x14ac:dyDescent="0.4">
      <c r="A10" s="144">
        <v>1</v>
      </c>
      <c r="B10" s="144" t="s">
        <v>33</v>
      </c>
      <c r="C10" s="145">
        <f>D10+Q10+U10+V10</f>
        <v>33736974.100000001</v>
      </c>
      <c r="D10" s="146">
        <f>SUM(E10:J10)</f>
        <v>25454151.640000001</v>
      </c>
      <c r="E10" s="146">
        <f>ROUND(4225.7*660.21+1197448.78,2)</f>
        <v>3987298.18</v>
      </c>
      <c r="F10" s="146">
        <f>ROUND(4225.7*620.83,2)</f>
        <v>2623441.33</v>
      </c>
      <c r="G10" s="146">
        <f>ROUND(4225.7*665.62,2)</f>
        <v>2812710.43</v>
      </c>
      <c r="H10" s="146">
        <f>ROUND(4225.7*3201.73+2501151.24,2)</f>
        <v>16030701.699999999</v>
      </c>
      <c r="I10" s="146" t="s">
        <v>82</v>
      </c>
      <c r="J10" s="146" t="s">
        <v>82</v>
      </c>
      <c r="K10" s="146" t="s">
        <v>82</v>
      </c>
      <c r="L10" s="146" t="s">
        <v>82</v>
      </c>
      <c r="M10" s="146" t="s">
        <v>82</v>
      </c>
      <c r="N10" s="147" t="s">
        <v>82</v>
      </c>
      <c r="O10" s="146" t="s">
        <v>82</v>
      </c>
      <c r="P10" s="146" t="s">
        <v>82</v>
      </c>
      <c r="Q10" s="146">
        <f>ROUND(4225.7*706.71,2)</f>
        <v>2986344.45</v>
      </c>
      <c r="R10" s="147" t="s">
        <v>82</v>
      </c>
      <c r="S10" s="146" t="s">
        <v>82</v>
      </c>
      <c r="T10" s="146" t="s">
        <v>82</v>
      </c>
      <c r="U10" s="146">
        <f>ROUND(4225.7*1135.41,2)</f>
        <v>4797902.04</v>
      </c>
      <c r="V10" s="146">
        <f>ROUND((D10+Q10+U10)*1.5%,2)</f>
        <v>498575.97</v>
      </c>
      <c r="W10" s="146" t="s">
        <v>82</v>
      </c>
      <c r="X10" s="146" t="s">
        <v>82</v>
      </c>
      <c r="Y10" s="146" t="s">
        <v>82</v>
      </c>
      <c r="Z10" s="146" t="s">
        <v>82</v>
      </c>
      <c r="AA10" s="146" t="s">
        <v>82</v>
      </c>
      <c r="AB10" s="146" t="s">
        <v>97</v>
      </c>
      <c r="AC10" s="146" t="s">
        <v>82</v>
      </c>
      <c r="AD10" s="82"/>
    </row>
    <row r="11" spans="1:30" s="2" customFormat="1" ht="56.25" customHeight="1" x14ac:dyDescent="0.4">
      <c r="A11" s="141"/>
      <c r="B11" s="141" t="s">
        <v>91</v>
      </c>
      <c r="C11" s="140">
        <f>SUM(C10:C10)</f>
        <v>33736974.100000001</v>
      </c>
      <c r="D11" s="140">
        <f>SUM(D10:D10)</f>
        <v>25454151.640000001</v>
      </c>
      <c r="E11" s="140">
        <f>SUM(E10)</f>
        <v>3987298.18</v>
      </c>
      <c r="F11" s="140">
        <f t="shared" ref="F11:Y11" si="0">SUM(F10)</f>
        <v>2623441.33</v>
      </c>
      <c r="G11" s="140">
        <f t="shared" si="0"/>
        <v>2812710.43</v>
      </c>
      <c r="H11" s="140">
        <f>SUM(H10:H10)</f>
        <v>16030701.699999999</v>
      </c>
      <c r="I11" s="140">
        <f t="shared" si="0"/>
        <v>0</v>
      </c>
      <c r="J11" s="140" t="s">
        <v>82</v>
      </c>
      <c r="K11" s="140">
        <f t="shared" si="0"/>
        <v>0</v>
      </c>
      <c r="L11" s="140">
        <f t="shared" si="0"/>
        <v>0</v>
      </c>
      <c r="M11" s="140">
        <f t="shared" si="0"/>
        <v>0</v>
      </c>
      <c r="N11" s="140">
        <f t="shared" si="0"/>
        <v>0</v>
      </c>
      <c r="O11" s="140" t="s">
        <v>82</v>
      </c>
      <c r="P11" s="140" t="s">
        <v>82</v>
      </c>
      <c r="Q11" s="140">
        <f>Q10</f>
        <v>2986344.45</v>
      </c>
      <c r="R11" s="140" t="s">
        <v>82</v>
      </c>
      <c r="S11" s="140" t="s">
        <v>82</v>
      </c>
      <c r="T11" s="140" t="s">
        <v>82</v>
      </c>
      <c r="U11" s="140">
        <f>SUM(U10:U10)</f>
        <v>4797902.04</v>
      </c>
      <c r="V11" s="140">
        <f>SUM(V10:V10)</f>
        <v>498575.97</v>
      </c>
      <c r="W11" s="140">
        <f t="shared" si="0"/>
        <v>0</v>
      </c>
      <c r="X11" s="140">
        <f t="shared" si="0"/>
        <v>0</v>
      </c>
      <c r="Y11" s="140">
        <f t="shared" si="0"/>
        <v>0</v>
      </c>
      <c r="Z11" s="140" t="s">
        <v>82</v>
      </c>
      <c r="AA11" s="140" t="s">
        <v>82</v>
      </c>
      <c r="AB11" s="140" t="s">
        <v>82</v>
      </c>
      <c r="AC11" s="140" t="s">
        <v>82</v>
      </c>
    </row>
    <row r="12" spans="1:30" s="2" customFormat="1" ht="56.25" customHeight="1" x14ac:dyDescent="0.4">
      <c r="A12" s="192">
        <v>2024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3"/>
    </row>
    <row r="13" spans="1:30" s="2" customFormat="1" ht="56.25" customHeight="1" x14ac:dyDescent="0.4">
      <c r="A13" s="144">
        <v>1</v>
      </c>
      <c r="B13" s="144" t="s">
        <v>33</v>
      </c>
      <c r="C13" s="146">
        <f>S13+V13</f>
        <v>14735539.25</v>
      </c>
      <c r="D13" s="146" t="s">
        <v>82</v>
      </c>
      <c r="E13" s="146" t="s">
        <v>82</v>
      </c>
      <c r="F13" s="146" t="s">
        <v>82</v>
      </c>
      <c r="G13" s="146" t="s">
        <v>82</v>
      </c>
      <c r="H13" s="146" t="s">
        <v>82</v>
      </c>
      <c r="I13" s="146" t="s">
        <v>82</v>
      </c>
      <c r="J13" s="146" t="s">
        <v>82</v>
      </c>
      <c r="K13" s="146" t="s">
        <v>82</v>
      </c>
      <c r="L13" s="146" t="s">
        <v>82</v>
      </c>
      <c r="M13" s="146" t="s">
        <v>82</v>
      </c>
      <c r="N13" s="147" t="s">
        <v>82</v>
      </c>
      <c r="O13" s="146" t="s">
        <v>82</v>
      </c>
      <c r="P13" s="146" t="s">
        <v>82</v>
      </c>
      <c r="Q13" s="146" t="s">
        <v>82</v>
      </c>
      <c r="R13" s="147" t="s">
        <v>82</v>
      </c>
      <c r="S13" s="146">
        <f>ROUND(4225.7*3435.59,2)</f>
        <v>14517772.66</v>
      </c>
      <c r="T13" s="146" t="s">
        <v>82</v>
      </c>
      <c r="U13" s="146" t="s">
        <v>82</v>
      </c>
      <c r="V13" s="146">
        <f>ROUND(S13*1.5%,2)</f>
        <v>217766.59</v>
      </c>
      <c r="W13" s="146" t="s">
        <v>82</v>
      </c>
      <c r="X13" s="146" t="s">
        <v>82</v>
      </c>
      <c r="Y13" s="146" t="s">
        <v>82</v>
      </c>
      <c r="Z13" s="146" t="s">
        <v>82</v>
      </c>
      <c r="AA13" s="146" t="s">
        <v>82</v>
      </c>
      <c r="AB13" s="146" t="s">
        <v>97</v>
      </c>
      <c r="AC13" s="146" t="s">
        <v>82</v>
      </c>
      <c r="AD13" s="82"/>
    </row>
    <row r="14" spans="1:30" s="2" customFormat="1" ht="56.25" customHeight="1" x14ac:dyDescent="0.4">
      <c r="A14" s="144">
        <v>2</v>
      </c>
      <c r="B14" s="144" t="s">
        <v>78</v>
      </c>
      <c r="C14" s="146">
        <f>O14+V14</f>
        <v>21792379.010000002</v>
      </c>
      <c r="D14" s="146" t="s">
        <v>82</v>
      </c>
      <c r="E14" s="146" t="s">
        <v>82</v>
      </c>
      <c r="F14" s="146" t="s">
        <v>82</v>
      </c>
      <c r="G14" s="146" t="s">
        <v>82</v>
      </c>
      <c r="H14" s="146" t="s">
        <v>82</v>
      </c>
      <c r="I14" s="146" t="s">
        <v>82</v>
      </c>
      <c r="J14" s="146" t="s">
        <v>82</v>
      </c>
      <c r="K14" s="146" t="s">
        <v>82</v>
      </c>
      <c r="L14" s="146" t="s">
        <v>82</v>
      </c>
      <c r="M14" s="146" t="s">
        <v>82</v>
      </c>
      <c r="N14" s="146" t="s">
        <v>82</v>
      </c>
      <c r="O14" s="146">
        <f>ROUND(5569.2*3855.19,2)</f>
        <v>21470324.149999999</v>
      </c>
      <c r="P14" s="146" t="s">
        <v>82</v>
      </c>
      <c r="Q14" s="146" t="s">
        <v>82</v>
      </c>
      <c r="R14" s="147" t="s">
        <v>82</v>
      </c>
      <c r="S14" s="146" t="s">
        <v>82</v>
      </c>
      <c r="T14" s="146" t="s">
        <v>82</v>
      </c>
      <c r="U14" s="146" t="s">
        <v>82</v>
      </c>
      <c r="V14" s="146">
        <f>ROUND(O14*1.5%,2)</f>
        <v>322054.86</v>
      </c>
      <c r="W14" s="146" t="s">
        <v>82</v>
      </c>
      <c r="X14" s="146" t="s">
        <v>82</v>
      </c>
      <c r="Y14" s="146" t="s">
        <v>82</v>
      </c>
      <c r="Z14" s="146" t="s">
        <v>82</v>
      </c>
      <c r="AA14" s="146" t="s">
        <v>82</v>
      </c>
      <c r="AB14" s="146" t="s">
        <v>97</v>
      </c>
      <c r="AC14" s="146" t="s">
        <v>82</v>
      </c>
      <c r="AD14" s="82"/>
    </row>
    <row r="15" spans="1:30" s="2" customFormat="1" ht="56.25" customHeight="1" x14ac:dyDescent="0.4">
      <c r="A15" s="144">
        <v>3</v>
      </c>
      <c r="B15" s="144" t="s">
        <v>79</v>
      </c>
      <c r="C15" s="146">
        <f>O15+V15</f>
        <v>5848870.3799999999</v>
      </c>
      <c r="D15" s="146" t="s">
        <v>82</v>
      </c>
      <c r="E15" s="146" t="s">
        <v>82</v>
      </c>
      <c r="F15" s="146" t="s">
        <v>82</v>
      </c>
      <c r="G15" s="146" t="s">
        <v>82</v>
      </c>
      <c r="H15" s="146" t="s">
        <v>82</v>
      </c>
      <c r="I15" s="146" t="s">
        <v>82</v>
      </c>
      <c r="J15" s="146" t="s">
        <v>82</v>
      </c>
      <c r="K15" s="146" t="s">
        <v>82</v>
      </c>
      <c r="L15" s="146" t="s">
        <v>82</v>
      </c>
      <c r="M15" s="146" t="s">
        <v>82</v>
      </c>
      <c r="N15" s="146" t="s">
        <v>82</v>
      </c>
      <c r="O15" s="146">
        <f>ROUND(1593.1*3617.12,2)</f>
        <v>5762433.8700000001</v>
      </c>
      <c r="P15" s="146" t="s">
        <v>82</v>
      </c>
      <c r="Q15" s="146" t="s">
        <v>82</v>
      </c>
      <c r="R15" s="147" t="s">
        <v>82</v>
      </c>
      <c r="S15" s="146" t="s">
        <v>82</v>
      </c>
      <c r="T15" s="146" t="s">
        <v>82</v>
      </c>
      <c r="U15" s="146" t="s">
        <v>82</v>
      </c>
      <c r="V15" s="146">
        <f>ROUND(O15*1.5%,2)</f>
        <v>86436.51</v>
      </c>
      <c r="W15" s="146" t="s">
        <v>82</v>
      </c>
      <c r="X15" s="146" t="s">
        <v>82</v>
      </c>
      <c r="Y15" s="146" t="s">
        <v>82</v>
      </c>
      <c r="Z15" s="146" t="s">
        <v>82</v>
      </c>
      <c r="AA15" s="146" t="s">
        <v>82</v>
      </c>
      <c r="AB15" s="146" t="s">
        <v>97</v>
      </c>
      <c r="AC15" s="146" t="s">
        <v>82</v>
      </c>
    </row>
    <row r="16" spans="1:30" s="2" customFormat="1" ht="56.25" customHeight="1" x14ac:dyDescent="0.4">
      <c r="A16" s="144">
        <v>4</v>
      </c>
      <c r="B16" s="144" t="s">
        <v>81</v>
      </c>
      <c r="C16" s="146">
        <f>V16+Z16</f>
        <v>11684361.460000001</v>
      </c>
      <c r="D16" s="146" t="s">
        <v>82</v>
      </c>
      <c r="E16" s="146" t="s">
        <v>82</v>
      </c>
      <c r="F16" s="146" t="s">
        <v>82</v>
      </c>
      <c r="G16" s="146" t="s">
        <v>82</v>
      </c>
      <c r="H16" s="146" t="s">
        <v>82</v>
      </c>
      <c r="I16" s="146" t="s">
        <v>82</v>
      </c>
      <c r="J16" s="146" t="s">
        <v>82</v>
      </c>
      <c r="K16" s="146" t="s">
        <v>82</v>
      </c>
      <c r="L16" s="146" t="s">
        <v>82</v>
      </c>
      <c r="M16" s="146" t="s">
        <v>82</v>
      </c>
      <c r="N16" s="146" t="s">
        <v>82</v>
      </c>
      <c r="O16" s="146" t="s">
        <v>82</v>
      </c>
      <c r="P16" s="146" t="s">
        <v>82</v>
      </c>
      <c r="Q16" s="146" t="s">
        <v>82</v>
      </c>
      <c r="R16" s="147" t="s">
        <v>82</v>
      </c>
      <c r="S16" s="146" t="s">
        <v>82</v>
      </c>
      <c r="T16" s="146" t="s">
        <v>82</v>
      </c>
      <c r="U16" s="146" t="s">
        <v>82</v>
      </c>
      <c r="V16" s="146">
        <f>ROUND(Z16*1.5%,2)</f>
        <v>172675.29</v>
      </c>
      <c r="W16" s="146" t="s">
        <v>82</v>
      </c>
      <c r="X16" s="146" t="s">
        <v>82</v>
      </c>
      <c r="Y16" s="146" t="s">
        <v>82</v>
      </c>
      <c r="Z16" s="146">
        <f>ROUND(1490.9*7721.3,2)</f>
        <v>11511686.17</v>
      </c>
      <c r="AA16" s="146" t="s">
        <v>82</v>
      </c>
      <c r="AB16" s="146" t="s">
        <v>97</v>
      </c>
      <c r="AC16" s="146" t="s">
        <v>82</v>
      </c>
      <c r="AD16" s="82"/>
    </row>
    <row r="17" spans="1:33" s="2" customFormat="1" ht="56.25" customHeight="1" x14ac:dyDescent="0.4">
      <c r="A17" s="144">
        <v>5</v>
      </c>
      <c r="B17" s="144" t="s">
        <v>34</v>
      </c>
      <c r="C17" s="146">
        <f>S17+V17</f>
        <v>14699621.880000001</v>
      </c>
      <c r="D17" s="146" t="s">
        <v>82</v>
      </c>
      <c r="E17" s="146" t="s">
        <v>82</v>
      </c>
      <c r="F17" s="146" t="s">
        <v>82</v>
      </c>
      <c r="G17" s="146" t="s">
        <v>82</v>
      </c>
      <c r="H17" s="146" t="s">
        <v>82</v>
      </c>
      <c r="I17" s="146" t="s">
        <v>82</v>
      </c>
      <c r="J17" s="146" t="s">
        <v>82</v>
      </c>
      <c r="K17" s="146" t="s">
        <v>82</v>
      </c>
      <c r="L17" s="146" t="s">
        <v>82</v>
      </c>
      <c r="M17" s="146" t="s">
        <v>82</v>
      </c>
      <c r="N17" s="146" t="s">
        <v>82</v>
      </c>
      <c r="O17" s="146" t="s">
        <v>82</v>
      </c>
      <c r="P17" s="146" t="s">
        <v>82</v>
      </c>
      <c r="Q17" s="146" t="s">
        <v>82</v>
      </c>
      <c r="R17" s="147" t="s">
        <v>82</v>
      </c>
      <c r="S17" s="146">
        <f>ROUND(3435.59*4215.4,2)</f>
        <v>14482386.09</v>
      </c>
      <c r="T17" s="146" t="s">
        <v>82</v>
      </c>
      <c r="U17" s="146" t="s">
        <v>82</v>
      </c>
      <c r="V17" s="146">
        <f>ROUND(S17*1.5%,2)</f>
        <v>217235.79</v>
      </c>
      <c r="W17" s="146" t="s">
        <v>82</v>
      </c>
      <c r="X17" s="146" t="s">
        <v>82</v>
      </c>
      <c r="Y17" s="146" t="s">
        <v>82</v>
      </c>
      <c r="Z17" s="146" t="s">
        <v>82</v>
      </c>
      <c r="AA17" s="146" t="s">
        <v>82</v>
      </c>
      <c r="AB17" s="146" t="s">
        <v>97</v>
      </c>
      <c r="AC17" s="146" t="s">
        <v>82</v>
      </c>
      <c r="AD17" s="82"/>
    </row>
    <row r="18" spans="1:33" s="2" customFormat="1" ht="56.25" customHeight="1" x14ac:dyDescent="0.4">
      <c r="A18" s="141"/>
      <c r="B18" s="142" t="s">
        <v>92</v>
      </c>
      <c r="C18" s="143">
        <f>SUM(C13:C17)</f>
        <v>68760771.980000004</v>
      </c>
      <c r="D18" s="143" t="s">
        <v>82</v>
      </c>
      <c r="E18" s="143" t="s">
        <v>82</v>
      </c>
      <c r="F18" s="143" t="s">
        <v>82</v>
      </c>
      <c r="G18" s="143" t="s">
        <v>82</v>
      </c>
      <c r="H18" s="143" t="s">
        <v>82</v>
      </c>
      <c r="I18" s="143">
        <f t="shared" ref="I18:AA18" si="1">SUM(I13:I17)</f>
        <v>0</v>
      </c>
      <c r="J18" s="143" t="s">
        <v>82</v>
      </c>
      <c r="K18" s="143">
        <f t="shared" si="1"/>
        <v>0</v>
      </c>
      <c r="L18" s="143">
        <f t="shared" si="1"/>
        <v>0</v>
      </c>
      <c r="M18" s="143">
        <f t="shared" si="1"/>
        <v>0</v>
      </c>
      <c r="N18" s="143">
        <f t="shared" si="1"/>
        <v>0</v>
      </c>
      <c r="O18" s="143">
        <f t="shared" si="1"/>
        <v>27232758.02</v>
      </c>
      <c r="P18" s="143">
        <f t="shared" si="1"/>
        <v>0</v>
      </c>
      <c r="Q18" s="143" t="s">
        <v>82</v>
      </c>
      <c r="R18" s="143" t="s">
        <v>82</v>
      </c>
      <c r="S18" s="143">
        <f t="shared" si="1"/>
        <v>29000158.75</v>
      </c>
      <c r="T18" s="143">
        <f t="shared" si="1"/>
        <v>0</v>
      </c>
      <c r="U18" s="143" t="s">
        <v>82</v>
      </c>
      <c r="V18" s="143">
        <f t="shared" si="1"/>
        <v>1016169.04</v>
      </c>
      <c r="W18" s="143">
        <f t="shared" si="1"/>
        <v>0</v>
      </c>
      <c r="X18" s="143">
        <f t="shared" si="1"/>
        <v>0</v>
      </c>
      <c r="Y18" s="143">
        <f t="shared" si="1"/>
        <v>0</v>
      </c>
      <c r="Z18" s="143">
        <f t="shared" si="1"/>
        <v>11511686.17</v>
      </c>
      <c r="AA18" s="143">
        <f t="shared" si="1"/>
        <v>0</v>
      </c>
      <c r="AB18" s="143" t="s">
        <v>82</v>
      </c>
      <c r="AC18" s="143" t="s">
        <v>82</v>
      </c>
      <c r="AD18" s="82"/>
    </row>
    <row r="19" spans="1:33" s="2" customFormat="1" ht="56.25" customHeight="1" x14ac:dyDescent="0.4">
      <c r="A19" s="194" t="e">
        <f>-D13:D18</f>
        <v>#VALUE!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3"/>
    </row>
    <row r="20" spans="1:33" s="2" customFormat="1" ht="56.25" customHeight="1" x14ac:dyDescent="0.4">
      <c r="A20" s="144">
        <v>1</v>
      </c>
      <c r="B20" s="144" t="s">
        <v>32</v>
      </c>
      <c r="C20" s="146">
        <f>Q20+V20</f>
        <v>6368231.4199999999</v>
      </c>
      <c r="D20" s="146" t="s">
        <v>82</v>
      </c>
      <c r="E20" s="146" t="s">
        <v>82</v>
      </c>
      <c r="F20" s="146" t="s">
        <v>82</v>
      </c>
      <c r="G20" s="146" t="s">
        <v>82</v>
      </c>
      <c r="H20" s="146" t="s">
        <v>82</v>
      </c>
      <c r="I20" s="146" t="s">
        <v>82</v>
      </c>
      <c r="J20" s="146" t="s">
        <v>82</v>
      </c>
      <c r="K20" s="146" t="s">
        <v>82</v>
      </c>
      <c r="L20" s="146" t="s">
        <v>82</v>
      </c>
      <c r="M20" s="146" t="s">
        <v>82</v>
      </c>
      <c r="N20" s="147" t="s">
        <v>82</v>
      </c>
      <c r="O20" s="146" t="s">
        <v>82</v>
      </c>
      <c r="P20" s="146" t="s">
        <v>82</v>
      </c>
      <c r="Q20" s="146">
        <f>ROUND(3210.5*1954.25,2)</f>
        <v>6274119.6299999999</v>
      </c>
      <c r="R20" s="147" t="s">
        <v>82</v>
      </c>
      <c r="S20" s="146" t="s">
        <v>82</v>
      </c>
      <c r="T20" s="146" t="s">
        <v>82</v>
      </c>
      <c r="U20" s="146" t="s">
        <v>82</v>
      </c>
      <c r="V20" s="146">
        <f>ROUND(Q20*1.5%,2)</f>
        <v>94111.79</v>
      </c>
      <c r="W20" s="146" t="s">
        <v>82</v>
      </c>
      <c r="X20" s="146" t="s">
        <v>82</v>
      </c>
      <c r="Y20" s="146" t="s">
        <v>82</v>
      </c>
      <c r="Z20" s="146" t="s">
        <v>82</v>
      </c>
      <c r="AA20" s="146" t="s">
        <v>82</v>
      </c>
      <c r="AB20" s="146" t="s">
        <v>97</v>
      </c>
      <c r="AC20" s="146" t="s">
        <v>82</v>
      </c>
    </row>
    <row r="21" spans="1:33" s="2" customFormat="1" ht="56.25" customHeight="1" x14ac:dyDescent="0.4">
      <c r="A21" s="153">
        <v>2</v>
      </c>
      <c r="B21" s="154" t="s">
        <v>80</v>
      </c>
      <c r="C21" s="149">
        <f>Q21+U21+V21</f>
        <v>6992663.7300000004</v>
      </c>
      <c r="D21" s="146" t="s">
        <v>82</v>
      </c>
      <c r="E21" s="149" t="s">
        <v>82</v>
      </c>
      <c r="F21" s="149" t="s">
        <v>82</v>
      </c>
      <c r="G21" s="149" t="s">
        <v>82</v>
      </c>
      <c r="H21" s="149" t="s">
        <v>82</v>
      </c>
      <c r="I21" s="149" t="s">
        <v>82</v>
      </c>
      <c r="J21" s="149" t="s">
        <v>82</v>
      </c>
      <c r="K21" s="149" t="s">
        <v>82</v>
      </c>
      <c r="L21" s="149" t="s">
        <v>82</v>
      </c>
      <c r="M21" s="149" t="s">
        <v>82</v>
      </c>
      <c r="N21" s="149" t="s">
        <v>82</v>
      </c>
      <c r="O21" s="149" t="s">
        <v>82</v>
      </c>
      <c r="P21" s="149" t="s">
        <v>82</v>
      </c>
      <c r="Q21" s="149">
        <f>ROUND(2229.8*1954.25,2)</f>
        <v>4357586.6500000004</v>
      </c>
      <c r="R21" s="149" t="s">
        <v>82</v>
      </c>
      <c r="S21" s="146" t="s">
        <v>82</v>
      </c>
      <c r="T21" s="149" t="s">
        <v>82</v>
      </c>
      <c r="U21" s="152">
        <f>ROUND(2229.8*1135.41,2)</f>
        <v>2531737.2200000002</v>
      </c>
      <c r="V21" s="146">
        <f>ROUND((Q21+U21)*1.5%,2)</f>
        <v>103339.86</v>
      </c>
      <c r="W21" s="149" t="s">
        <v>82</v>
      </c>
      <c r="X21" s="149" t="s">
        <v>82</v>
      </c>
      <c r="Y21" s="149" t="s">
        <v>82</v>
      </c>
      <c r="Z21" s="149" t="s">
        <v>82</v>
      </c>
      <c r="AA21" s="149" t="s">
        <v>82</v>
      </c>
      <c r="AB21" s="149" t="s">
        <v>97</v>
      </c>
      <c r="AC21" s="149" t="s">
        <v>82</v>
      </c>
      <c r="AD21" s="82"/>
    </row>
    <row r="22" spans="1:33" s="2" customFormat="1" ht="56.25" customHeight="1" x14ac:dyDescent="0.4">
      <c r="A22" s="153">
        <v>3</v>
      </c>
      <c r="B22" s="144" t="s">
        <v>31</v>
      </c>
      <c r="C22" s="149">
        <f>D22+Q22+S22+U22+V22+AB22+AC22</f>
        <v>35226745.25</v>
      </c>
      <c r="D22" s="146">
        <f t="shared" ref="D22:D24" si="2">SUM(E22:K22)</f>
        <v>14040268.529999999</v>
      </c>
      <c r="E22" s="149">
        <f>ROUND(3301.4*589.88+1197448.78,2)</f>
        <v>3144878.61</v>
      </c>
      <c r="F22" s="149">
        <f>ROUND(3301.4*596.38,2)</f>
        <v>1968888.93</v>
      </c>
      <c r="G22" s="149">
        <f>ROUND(3301.4*1074.75,2)</f>
        <v>3548179.65</v>
      </c>
      <c r="H22" s="149">
        <f>ROUND(3301.4*871.5+2501151.24,2)</f>
        <v>5378321.3399999999</v>
      </c>
      <c r="I22" s="149" t="s">
        <v>82</v>
      </c>
      <c r="J22" s="149" t="s">
        <v>82</v>
      </c>
      <c r="K22" s="149" t="s">
        <v>82</v>
      </c>
      <c r="L22" s="149" t="s">
        <v>82</v>
      </c>
      <c r="M22" s="149" t="s">
        <v>82</v>
      </c>
      <c r="N22" s="149" t="s">
        <v>82</v>
      </c>
      <c r="O22" s="149" t="s">
        <v>82</v>
      </c>
      <c r="P22" s="149" t="s">
        <v>82</v>
      </c>
      <c r="Q22" s="149">
        <f>ROUND(3301.4*1954.25,2)</f>
        <v>6451760.9500000002</v>
      </c>
      <c r="R22" s="149" t="s">
        <v>82</v>
      </c>
      <c r="S22" s="146">
        <f>ROUND(3301.4*2647.87,2)</f>
        <v>8741678.0199999996</v>
      </c>
      <c r="T22" s="149" t="s">
        <v>82</v>
      </c>
      <c r="U22" s="152">
        <f>ROUND(3301.4*1135.41,2)</f>
        <v>3748442.57</v>
      </c>
      <c r="V22" s="149">
        <f>ROUND((D22+Q22+S22+U22)*1.5%,2)</f>
        <v>494732.25</v>
      </c>
      <c r="W22" s="149" t="s">
        <v>82</v>
      </c>
      <c r="X22" s="149" t="s">
        <v>82</v>
      </c>
      <c r="Y22" s="149" t="s">
        <v>82</v>
      </c>
      <c r="Z22" s="149" t="s">
        <v>82</v>
      </c>
      <c r="AA22" s="149" t="s">
        <v>82</v>
      </c>
      <c r="AB22" s="146">
        <v>1305714.03</v>
      </c>
      <c r="AC22" s="146">
        <v>444148.9</v>
      </c>
      <c r="AD22" s="82"/>
    </row>
    <row r="23" spans="1:33" s="2" customFormat="1" ht="56.25" customHeight="1" x14ac:dyDescent="0.4">
      <c r="A23" s="144">
        <v>4</v>
      </c>
      <c r="B23" s="148" t="s">
        <v>34</v>
      </c>
      <c r="C23" s="149">
        <f>D23+V23</f>
        <v>6267495.4299999997</v>
      </c>
      <c r="D23" s="146">
        <f t="shared" ref="D23" si="3">SUM(E23:K23)</f>
        <v>6174872.3399999999</v>
      </c>
      <c r="E23" s="150" t="s">
        <v>82</v>
      </c>
      <c r="F23" s="151" t="s">
        <v>82</v>
      </c>
      <c r="G23" s="152" t="s">
        <v>82</v>
      </c>
      <c r="H23" s="152">
        <f>ROUND(4215.4*871.5+2501151.24,2)</f>
        <v>6174872.3399999999</v>
      </c>
      <c r="I23" s="152" t="s">
        <v>82</v>
      </c>
      <c r="J23" s="152" t="s">
        <v>82</v>
      </c>
      <c r="K23" s="152" t="s">
        <v>82</v>
      </c>
      <c r="L23" s="152" t="s">
        <v>82</v>
      </c>
      <c r="M23" s="152" t="s">
        <v>82</v>
      </c>
      <c r="N23" s="152" t="s">
        <v>82</v>
      </c>
      <c r="O23" s="149" t="s">
        <v>82</v>
      </c>
      <c r="P23" s="152" t="s">
        <v>82</v>
      </c>
      <c r="Q23" s="152" t="s">
        <v>82</v>
      </c>
      <c r="R23" s="152" t="s">
        <v>82</v>
      </c>
      <c r="S23" s="152" t="s">
        <v>82</v>
      </c>
      <c r="T23" s="152" t="s">
        <v>82</v>
      </c>
      <c r="U23" s="152" t="s">
        <v>82</v>
      </c>
      <c r="V23" s="152">
        <f>ROUND(H23*1.5%,2)</f>
        <v>92623.09</v>
      </c>
      <c r="W23" s="152" t="s">
        <v>82</v>
      </c>
      <c r="X23" s="152" t="s">
        <v>82</v>
      </c>
      <c r="Y23" s="152" t="s">
        <v>82</v>
      </c>
      <c r="Z23" s="152" t="s">
        <v>82</v>
      </c>
      <c r="AA23" s="152" t="s">
        <v>82</v>
      </c>
      <c r="AB23" s="152" t="s">
        <v>97</v>
      </c>
      <c r="AC23" s="152" t="s">
        <v>82</v>
      </c>
      <c r="AD23" s="83"/>
      <c r="AE23" s="83"/>
      <c r="AF23" s="83"/>
      <c r="AG23" s="84"/>
    </row>
    <row r="24" spans="1:33" s="2" customFormat="1" ht="56.25" customHeight="1" x14ac:dyDescent="0.4">
      <c r="A24" s="153">
        <v>5</v>
      </c>
      <c r="B24" s="148" t="s">
        <v>94</v>
      </c>
      <c r="C24" s="149">
        <f>D24+V24</f>
        <v>3305643.58</v>
      </c>
      <c r="D24" s="146">
        <f t="shared" si="2"/>
        <v>3256791.7</v>
      </c>
      <c r="E24" s="150" t="s">
        <v>82</v>
      </c>
      <c r="F24" s="151" t="s">
        <v>82</v>
      </c>
      <c r="G24" s="152" t="s">
        <v>82</v>
      </c>
      <c r="H24" s="152" t="s">
        <v>82</v>
      </c>
      <c r="I24" s="152" t="s">
        <v>82</v>
      </c>
      <c r="J24" s="152">
        <f>ROUND(690.32*4717.8,2)</f>
        <v>3256791.7</v>
      </c>
      <c r="K24" s="152" t="s">
        <v>82</v>
      </c>
      <c r="L24" s="152" t="s">
        <v>82</v>
      </c>
      <c r="M24" s="152" t="s">
        <v>82</v>
      </c>
      <c r="N24" s="152" t="s">
        <v>82</v>
      </c>
      <c r="O24" s="149" t="s">
        <v>82</v>
      </c>
      <c r="P24" s="152" t="s">
        <v>82</v>
      </c>
      <c r="Q24" s="152" t="s">
        <v>82</v>
      </c>
      <c r="R24" s="152" t="s">
        <v>82</v>
      </c>
      <c r="S24" s="152" t="s">
        <v>82</v>
      </c>
      <c r="T24" s="152" t="s">
        <v>82</v>
      </c>
      <c r="U24" s="152" t="s">
        <v>82</v>
      </c>
      <c r="V24" s="152">
        <f>ROUND(J24*1.5%,2)</f>
        <v>48851.88</v>
      </c>
      <c r="W24" s="152" t="s">
        <v>82</v>
      </c>
      <c r="X24" s="152" t="s">
        <v>82</v>
      </c>
      <c r="Y24" s="152" t="s">
        <v>82</v>
      </c>
      <c r="Z24" s="152" t="s">
        <v>82</v>
      </c>
      <c r="AA24" s="152" t="s">
        <v>82</v>
      </c>
      <c r="AB24" s="152" t="s">
        <v>97</v>
      </c>
      <c r="AC24" s="152" t="s">
        <v>82</v>
      </c>
      <c r="AD24" s="83"/>
      <c r="AE24" s="83"/>
      <c r="AF24" s="83"/>
      <c r="AG24" s="84"/>
    </row>
    <row r="25" spans="1:33" s="2" customFormat="1" ht="54.75" customHeight="1" x14ac:dyDescent="0.4">
      <c r="A25" s="81"/>
      <c r="B25" s="85" t="s">
        <v>93</v>
      </c>
      <c r="C25" s="125">
        <f t="shared" ref="C25:AC25" si="4">SUM(C20:C24)</f>
        <v>58160779.409999996</v>
      </c>
      <c r="D25" s="125">
        <f t="shared" si="4"/>
        <v>23471932.57</v>
      </c>
      <c r="E25" s="125">
        <f t="shared" si="4"/>
        <v>3144878.61</v>
      </c>
      <c r="F25" s="125">
        <f t="shared" si="4"/>
        <v>1968888.93</v>
      </c>
      <c r="G25" s="125">
        <f t="shared" si="4"/>
        <v>3548179.65</v>
      </c>
      <c r="H25" s="125">
        <f t="shared" si="4"/>
        <v>11553193.68</v>
      </c>
      <c r="I25" s="125">
        <f t="shared" si="4"/>
        <v>0</v>
      </c>
      <c r="J25" s="125">
        <f t="shared" si="4"/>
        <v>3256791.7</v>
      </c>
      <c r="K25" s="125">
        <f t="shared" si="4"/>
        <v>0</v>
      </c>
      <c r="L25" s="125">
        <f t="shared" si="4"/>
        <v>0</v>
      </c>
      <c r="M25" s="125">
        <f t="shared" si="4"/>
        <v>0</v>
      </c>
      <c r="N25" s="125">
        <f t="shared" si="4"/>
        <v>0</v>
      </c>
      <c r="O25" s="155" t="s">
        <v>82</v>
      </c>
      <c r="P25" s="155" t="s">
        <v>82</v>
      </c>
      <c r="Q25" s="125">
        <f t="shared" si="4"/>
        <v>17083467.23</v>
      </c>
      <c r="R25" s="155" t="s">
        <v>82</v>
      </c>
      <c r="S25" s="125">
        <f t="shared" si="4"/>
        <v>8741678.0199999996</v>
      </c>
      <c r="T25" s="125">
        <f t="shared" si="4"/>
        <v>0</v>
      </c>
      <c r="U25" s="125">
        <f t="shared" si="4"/>
        <v>6280179.79</v>
      </c>
      <c r="V25" s="125">
        <f t="shared" si="4"/>
        <v>833658.87</v>
      </c>
      <c r="W25" s="125">
        <f t="shared" si="4"/>
        <v>0</v>
      </c>
      <c r="X25" s="125">
        <f t="shared" si="4"/>
        <v>0</v>
      </c>
      <c r="Y25" s="125">
        <f t="shared" si="4"/>
        <v>0</v>
      </c>
      <c r="Z25" s="155" t="s">
        <v>82</v>
      </c>
      <c r="AA25" s="155" t="s">
        <v>82</v>
      </c>
      <c r="AB25" s="125">
        <f t="shared" si="4"/>
        <v>1305714.03</v>
      </c>
      <c r="AC25" s="125">
        <f t="shared" si="4"/>
        <v>444148.9</v>
      </c>
    </row>
    <row r="26" spans="1:33" x14ac:dyDescent="0.4">
      <c r="A26" s="2"/>
      <c r="B26" s="184"/>
      <c r="C26" s="184"/>
      <c r="D26" s="184"/>
      <c r="E26" s="184"/>
      <c r="F26" s="184"/>
      <c r="G26" s="184"/>
      <c r="H26" s="184"/>
      <c r="I26" s="184"/>
      <c r="J26" s="18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33" x14ac:dyDescent="0.4">
      <c r="B27" s="185"/>
      <c r="C27" s="185"/>
      <c r="D27" s="185"/>
      <c r="E27" s="185"/>
      <c r="F27" s="185"/>
      <c r="G27" s="185"/>
      <c r="H27" s="185"/>
      <c r="I27" s="185"/>
      <c r="J27" s="185"/>
      <c r="V27" s="102"/>
    </row>
    <row r="28" spans="1:33" x14ac:dyDescent="0.4">
      <c r="C28" s="102"/>
      <c r="D28" s="102"/>
      <c r="E28" s="102"/>
      <c r="G28" s="102"/>
      <c r="H28" s="102"/>
      <c r="O28" s="102"/>
      <c r="S28" s="102"/>
      <c r="U28" s="102"/>
    </row>
    <row r="29" spans="1:33" x14ac:dyDescent="0.4">
      <c r="B29" s="2"/>
      <c r="C29" s="94"/>
      <c r="D29" s="2"/>
      <c r="E29" s="82"/>
      <c r="F29" s="82"/>
      <c r="G29" s="82"/>
      <c r="H29" s="82"/>
      <c r="I29" s="2"/>
      <c r="J29" s="2"/>
      <c r="K29" s="2"/>
      <c r="L29" s="2"/>
      <c r="M29" s="2"/>
      <c r="N29" s="2"/>
      <c r="O29" s="2"/>
      <c r="P29" s="82"/>
      <c r="Q29" s="2"/>
      <c r="R29" s="2"/>
      <c r="V29" s="102"/>
    </row>
    <row r="30" spans="1:33" x14ac:dyDescent="0.4">
      <c r="B30" s="2"/>
      <c r="C30" s="95"/>
      <c r="D30" s="82"/>
      <c r="E30" s="82"/>
      <c r="F30" s="82"/>
      <c r="G30" s="2"/>
      <c r="H30" s="82"/>
      <c r="I30" s="2"/>
      <c r="J30" s="2"/>
      <c r="K30" s="2"/>
      <c r="L30" s="2"/>
      <c r="M30" s="2"/>
      <c r="N30" s="82"/>
      <c r="O30" s="82"/>
      <c r="P30" s="2"/>
      <c r="Q30" s="2"/>
      <c r="R30" s="2"/>
      <c r="V30" s="102"/>
    </row>
    <row r="31" spans="1:33" x14ac:dyDescent="0.4">
      <c r="B31" s="2"/>
      <c r="C31" s="82"/>
      <c r="D31" s="82"/>
      <c r="E31" s="82"/>
      <c r="F31" s="2"/>
      <c r="G31" s="2"/>
      <c r="H31" s="82"/>
      <c r="I31" s="2"/>
      <c r="J31" s="82"/>
      <c r="K31" s="2"/>
      <c r="L31" s="2"/>
      <c r="M31" s="2"/>
      <c r="N31" s="82"/>
      <c r="O31" s="2"/>
      <c r="P31" s="2"/>
      <c r="Q31" s="2"/>
      <c r="R31" s="2"/>
    </row>
    <row r="32" spans="1:33" x14ac:dyDescent="0.4">
      <c r="B32" s="96"/>
      <c r="C32" s="2"/>
      <c r="D32" s="82"/>
      <c r="E32" s="82"/>
      <c r="F32" s="82"/>
      <c r="G32" s="2"/>
      <c r="H32" s="82"/>
      <c r="I32" s="2"/>
      <c r="J32" s="82"/>
      <c r="K32" s="2"/>
      <c r="L32" s="2"/>
      <c r="M32" s="2"/>
      <c r="N32" s="82"/>
      <c r="O32" s="2"/>
      <c r="P32" s="2"/>
      <c r="Q32" s="2"/>
      <c r="R32" s="2"/>
    </row>
    <row r="33" spans="2:19" x14ac:dyDescent="0.4">
      <c r="B33" s="97"/>
      <c r="C33" s="97"/>
      <c r="D33" s="97"/>
      <c r="E33" s="137"/>
      <c r="F33" s="2"/>
      <c r="G33" s="2"/>
      <c r="H33" s="2"/>
      <c r="I33" s="2"/>
      <c r="J33" s="82"/>
      <c r="K33" s="2"/>
      <c r="L33" s="2"/>
      <c r="M33" s="2"/>
      <c r="N33" s="2"/>
      <c r="O33" s="2"/>
      <c r="P33" s="2"/>
      <c r="Q33" s="2"/>
      <c r="R33" s="2"/>
    </row>
    <row r="34" spans="2:19" x14ac:dyDescent="0.4">
      <c r="B34" s="2"/>
      <c r="C34" s="2"/>
      <c r="D34" s="2"/>
      <c r="E34" s="2"/>
      <c r="F34" s="2"/>
      <c r="G34" s="2"/>
      <c r="H34" s="2"/>
      <c r="I34" s="2"/>
      <c r="J34" s="82"/>
      <c r="K34" s="2"/>
      <c r="L34" s="2"/>
      <c r="M34" s="2"/>
      <c r="N34" s="2"/>
      <c r="O34" s="2"/>
      <c r="P34" s="2"/>
      <c r="Q34" s="2"/>
      <c r="R34" s="2"/>
    </row>
    <row r="35" spans="2:19" x14ac:dyDescent="0.4">
      <c r="B35" s="2"/>
      <c r="C35" s="2"/>
      <c r="D35" s="2"/>
      <c r="E35" s="2"/>
      <c r="F35" s="82"/>
      <c r="G35" s="82" t="str">
        <f>F24</f>
        <v>-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02"/>
    </row>
    <row r="36" spans="2:19" x14ac:dyDescent="0.4">
      <c r="B36" s="9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9" x14ac:dyDescent="0.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9" x14ac:dyDescent="0.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9" x14ac:dyDescent="0.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9" x14ac:dyDescent="0.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9" x14ac:dyDescent="0.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9" x14ac:dyDescent="0.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</sheetData>
  <mergeCells count="24"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  <mergeCell ref="B26:J26"/>
    <mergeCell ref="B27:J27"/>
    <mergeCell ref="AA5:AA6"/>
    <mergeCell ref="AB5:AB6"/>
    <mergeCell ref="AC5:AC6"/>
    <mergeCell ref="A9:AC9"/>
    <mergeCell ref="A12:AC12"/>
    <mergeCell ref="A19:AC19"/>
    <mergeCell ref="P5:Q6"/>
    <mergeCell ref="R5:S6"/>
    <mergeCell ref="T5:U6"/>
    <mergeCell ref="V5:V6"/>
    <mergeCell ref="W5:X6"/>
    <mergeCell ref="Y5:Z6"/>
  </mergeCells>
  <pageMargins left="0.23622047244094491" right="0.23622047244094491" top="0.74803149606299213" bottom="0.74803149606299213" header="0.31496062992125984" footer="0.31496062992125984"/>
  <pageSetup paperSize="9" scale="1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activeCell="M10" sqref="M10"/>
    </sheetView>
  </sheetViews>
  <sheetFormatPr defaultRowHeight="15" x14ac:dyDescent="0.25"/>
  <cols>
    <col min="1" max="1" width="9.140625" style="6"/>
    <col min="2" max="2" width="24.85546875" style="6" customWidth="1"/>
    <col min="3" max="3" width="19.140625" style="6" customWidth="1"/>
    <col min="4" max="4" width="20" style="6" customWidth="1"/>
    <col min="5" max="5" width="16.42578125" style="6" customWidth="1"/>
    <col min="6" max="6" width="13" style="6" customWidth="1"/>
    <col min="7" max="7" width="12.7109375" style="6" customWidth="1"/>
    <col min="8" max="8" width="19.5703125" style="6" bestFit="1" customWidth="1"/>
    <col min="9" max="9" width="19.42578125" style="6" bestFit="1" customWidth="1"/>
    <col min="10" max="10" width="15.42578125" style="6" bestFit="1" customWidth="1"/>
    <col min="11" max="11" width="20.5703125" style="6" customWidth="1"/>
    <col min="12" max="12" width="14.28515625" style="6" customWidth="1"/>
    <col min="13" max="14" width="21" style="6" customWidth="1"/>
    <col min="15" max="15" width="9.140625" style="6"/>
    <col min="16" max="16" width="13.5703125" style="6" bestFit="1" customWidth="1"/>
    <col min="17" max="17" width="9.140625" style="6"/>
    <col min="18" max="18" width="12.85546875" style="6" customWidth="1"/>
    <col min="19" max="16384" width="9.140625" style="6"/>
  </cols>
  <sheetData>
    <row r="1" spans="1:17" x14ac:dyDescent="0.25">
      <c r="G1" s="14"/>
    </row>
    <row r="2" spans="1:17" ht="18.75" x14ac:dyDescent="0.3">
      <c r="A2" s="181"/>
      <c r="B2" s="181"/>
      <c r="C2" s="181" t="s">
        <v>65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7" ht="18.7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56.25" x14ac:dyDescent="0.3">
      <c r="A4" s="224" t="s">
        <v>37</v>
      </c>
      <c r="B4" s="224" t="s">
        <v>66</v>
      </c>
      <c r="C4" s="57" t="s">
        <v>67</v>
      </c>
      <c r="D4" s="58" t="s">
        <v>68</v>
      </c>
      <c r="E4" s="226" t="s">
        <v>69</v>
      </c>
      <c r="F4" s="226"/>
      <c r="G4" s="226"/>
      <c r="H4" s="226"/>
      <c r="I4" s="226"/>
      <c r="J4" s="226" t="s">
        <v>48</v>
      </c>
      <c r="K4" s="226"/>
      <c r="L4" s="226"/>
      <c r="M4" s="226"/>
      <c r="N4" s="226"/>
      <c r="O4" s="7"/>
    </row>
    <row r="5" spans="1:17" ht="18.75" x14ac:dyDescent="0.3">
      <c r="A5" s="225"/>
      <c r="B5" s="225"/>
      <c r="C5" s="59" t="s">
        <v>70</v>
      </c>
      <c r="D5" s="59" t="s">
        <v>71</v>
      </c>
      <c r="E5" s="59" t="s">
        <v>72</v>
      </c>
      <c r="F5" s="59" t="s">
        <v>73</v>
      </c>
      <c r="G5" s="59" t="s">
        <v>74</v>
      </c>
      <c r="H5" s="59" t="s">
        <v>75</v>
      </c>
      <c r="I5" s="59" t="s">
        <v>76</v>
      </c>
      <c r="J5" s="59" t="s">
        <v>72</v>
      </c>
      <c r="K5" s="59" t="s">
        <v>73</v>
      </c>
      <c r="L5" s="59" t="s">
        <v>74</v>
      </c>
      <c r="M5" s="59" t="s">
        <v>75</v>
      </c>
      <c r="N5" s="59" t="s">
        <v>76</v>
      </c>
      <c r="O5" s="7"/>
    </row>
    <row r="6" spans="1:17" ht="18.75" x14ac:dyDescent="0.3">
      <c r="A6" s="215">
        <v>2023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7"/>
    </row>
    <row r="7" spans="1:17" ht="18.75" x14ac:dyDescent="0.3">
      <c r="A7" s="60">
        <v>1</v>
      </c>
      <c r="B7" s="60" t="s">
        <v>77</v>
      </c>
      <c r="C7" s="17">
        <f>'Разд 1'!K21</f>
        <v>4640.1000000000004</v>
      </c>
      <c r="D7" s="18">
        <f>'Разд 1'!N21</f>
        <v>75</v>
      </c>
      <c r="E7" s="61">
        <v>0</v>
      </c>
      <c r="F7" s="61">
        <v>0</v>
      </c>
      <c r="G7" s="61">
        <v>0</v>
      </c>
      <c r="H7" s="131">
        <v>1</v>
      </c>
      <c r="I7" s="131">
        <f>H7</f>
        <v>1</v>
      </c>
      <c r="J7" s="61">
        <v>0</v>
      </c>
      <c r="K7" s="61">
        <v>0</v>
      </c>
      <c r="L7" s="61">
        <v>0</v>
      </c>
      <c r="M7" s="17">
        <f>'Разд 2'!C11</f>
        <v>33736974.100000001</v>
      </c>
      <c r="N7" s="17">
        <f>M7</f>
        <v>33736974.100000001</v>
      </c>
      <c r="O7" s="7"/>
      <c r="P7" s="21"/>
    </row>
    <row r="8" spans="1:17" ht="18.75" x14ac:dyDescent="0.3">
      <c r="A8" s="218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20"/>
      <c r="O8" s="7"/>
    </row>
    <row r="9" spans="1:17" ht="18.75" x14ac:dyDescent="0.3">
      <c r="A9" s="221">
        <v>2024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7"/>
      <c r="P9" s="21"/>
    </row>
    <row r="10" spans="1:17" ht="18.75" x14ac:dyDescent="0.3">
      <c r="A10" s="16">
        <v>1</v>
      </c>
      <c r="B10" s="16" t="s">
        <v>77</v>
      </c>
      <c r="C10" s="17">
        <f>'Разд 1'!K28</f>
        <v>20352.8</v>
      </c>
      <c r="D10" s="18">
        <f>'Разд 1'!N28</f>
        <v>436</v>
      </c>
      <c r="E10" s="61">
        <v>0</v>
      </c>
      <c r="F10" s="61">
        <v>0</v>
      </c>
      <c r="G10" s="61">
        <v>0</v>
      </c>
      <c r="H10" s="131">
        <v>5</v>
      </c>
      <c r="I10" s="131">
        <f>H10</f>
        <v>5</v>
      </c>
      <c r="J10" s="62" t="s">
        <v>82</v>
      </c>
      <c r="K10" s="62" t="s">
        <v>82</v>
      </c>
      <c r="L10" s="62" t="s">
        <v>82</v>
      </c>
      <c r="M10" s="63">
        <f>'Разд 2'!C18</f>
        <v>68760771.980000004</v>
      </c>
      <c r="N10" s="63">
        <f>M10</f>
        <v>68760771.980000004</v>
      </c>
      <c r="O10" s="7"/>
      <c r="P10" s="21"/>
    </row>
    <row r="11" spans="1:17" ht="18.75" x14ac:dyDescent="0.3">
      <c r="A11" s="64"/>
      <c r="B11" s="64"/>
      <c r="C11" s="64"/>
      <c r="D11" s="65"/>
      <c r="E11" s="65"/>
      <c r="F11" s="65"/>
      <c r="G11" s="65"/>
      <c r="H11" s="65"/>
      <c r="I11" s="65"/>
      <c r="J11" s="65"/>
      <c r="K11" s="65"/>
      <c r="L11" s="64"/>
      <c r="M11" s="66"/>
      <c r="N11" s="67"/>
      <c r="O11" s="7"/>
      <c r="P11" s="21"/>
    </row>
    <row r="12" spans="1:17" ht="18.75" x14ac:dyDescent="0.3">
      <c r="A12" s="221">
        <v>2025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7"/>
    </row>
    <row r="13" spans="1:17" ht="18.75" x14ac:dyDescent="0.3">
      <c r="A13" s="16">
        <v>1</v>
      </c>
      <c r="B13" s="16" t="s">
        <v>77</v>
      </c>
      <c r="C13" s="117">
        <f>'Разд 1'!K35</f>
        <v>21557</v>
      </c>
      <c r="D13" s="18">
        <f>'Разд 1'!N35</f>
        <v>424</v>
      </c>
      <c r="E13" s="61">
        <v>0</v>
      </c>
      <c r="F13" s="61">
        <v>0</v>
      </c>
      <c r="G13" s="61">
        <v>0</v>
      </c>
      <c r="H13" s="131">
        <v>5</v>
      </c>
      <c r="I13" s="131">
        <f>H13</f>
        <v>5</v>
      </c>
      <c r="J13" s="62" t="s">
        <v>82</v>
      </c>
      <c r="K13" s="62" t="s">
        <v>82</v>
      </c>
      <c r="L13" s="62" t="s">
        <v>82</v>
      </c>
      <c r="M13" s="63">
        <f>'Разд 2'!C25</f>
        <v>58160779.409999996</v>
      </c>
      <c r="N13" s="17">
        <f>M13</f>
        <v>58160779.409999996</v>
      </c>
      <c r="O13" s="7"/>
      <c r="P13" s="21"/>
    </row>
    <row r="14" spans="1:17" ht="18.75" x14ac:dyDescent="0.3">
      <c r="A14" s="222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7"/>
    </row>
    <row r="15" spans="1:17" ht="18.75" x14ac:dyDescent="0.3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7"/>
    </row>
    <row r="16" spans="1:17" ht="18.75" x14ac:dyDescent="0.3">
      <c r="A16" s="68"/>
      <c r="B16" s="68"/>
      <c r="C16" s="69"/>
      <c r="D16" s="68"/>
      <c r="E16" s="68"/>
      <c r="F16" s="68"/>
      <c r="G16" s="68"/>
      <c r="H16" s="68"/>
      <c r="I16" s="68"/>
      <c r="J16" s="70"/>
      <c r="K16" s="71"/>
      <c r="L16" s="68"/>
      <c r="M16" s="68"/>
      <c r="N16" s="72"/>
      <c r="O16" s="73"/>
      <c r="P16" s="74"/>
      <c r="Q16" s="75"/>
    </row>
    <row r="17" spans="1:17" x14ac:dyDescent="0.25">
      <c r="A17" s="75"/>
      <c r="B17" s="75"/>
      <c r="C17" s="76"/>
      <c r="D17" s="75"/>
      <c r="E17" s="75"/>
      <c r="F17" s="75"/>
      <c r="G17" s="75"/>
      <c r="H17" s="75"/>
      <c r="I17" s="75"/>
      <c r="J17" s="75"/>
      <c r="K17" s="74"/>
      <c r="L17" s="75"/>
      <c r="M17" s="75"/>
      <c r="N17" s="75"/>
      <c r="O17" s="75"/>
      <c r="P17" s="75"/>
      <c r="Q17" s="75"/>
    </row>
    <row r="18" spans="1:17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7"/>
      <c r="L18" s="75"/>
      <c r="M18" s="75"/>
      <c r="N18" s="74"/>
      <c r="O18" s="75"/>
      <c r="P18" s="74"/>
      <c r="Q18" s="75"/>
    </row>
    <row r="19" spans="1:17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8"/>
      <c r="K19" s="75"/>
      <c r="L19" s="75"/>
      <c r="M19" s="78"/>
      <c r="N19" s="75"/>
      <c r="O19" s="75"/>
      <c r="P19" s="75"/>
      <c r="Q19" s="75"/>
    </row>
    <row r="20" spans="1:17" x14ac:dyDescent="0.25">
      <c r="A20" s="75"/>
      <c r="B20" s="212"/>
      <c r="C20" s="75"/>
      <c r="D20" s="74"/>
      <c r="E20" s="75"/>
      <c r="F20" s="79"/>
      <c r="G20" s="75"/>
      <c r="H20" s="75"/>
      <c r="I20" s="75"/>
      <c r="J20" s="75"/>
      <c r="K20" s="74"/>
      <c r="L20" s="75"/>
      <c r="M20" s="74"/>
      <c r="N20" s="75"/>
      <c r="O20" s="75"/>
      <c r="P20" s="75"/>
      <c r="Q20" s="75"/>
    </row>
    <row r="21" spans="1:17" x14ac:dyDescent="0.25">
      <c r="A21" s="75"/>
      <c r="B21" s="212"/>
      <c r="C21" s="75"/>
      <c r="D21" s="74"/>
      <c r="E21" s="74"/>
      <c r="F21" s="79"/>
      <c r="G21" s="75"/>
      <c r="H21" s="75"/>
      <c r="I21" s="75"/>
      <c r="J21" s="75"/>
      <c r="K21" s="75"/>
      <c r="L21" s="75"/>
      <c r="M21" s="74"/>
      <c r="N21" s="75"/>
      <c r="O21" s="75"/>
      <c r="P21" s="75"/>
      <c r="Q21" s="75"/>
    </row>
    <row r="22" spans="1:17" x14ac:dyDescent="0.25">
      <c r="A22" s="75"/>
      <c r="B22" s="212"/>
      <c r="C22" s="75"/>
      <c r="D22" s="74"/>
      <c r="E22" s="74"/>
      <c r="F22" s="79"/>
      <c r="G22" s="75"/>
      <c r="H22" s="75"/>
      <c r="I22" s="75"/>
      <c r="J22" s="75"/>
      <c r="K22" s="75"/>
      <c r="L22" s="75"/>
      <c r="M22" s="74"/>
      <c r="N22" s="75"/>
      <c r="O22" s="75"/>
      <c r="P22" s="75"/>
      <c r="Q22" s="75"/>
    </row>
    <row r="23" spans="1:17" x14ac:dyDescent="0.25">
      <c r="A23" s="75"/>
      <c r="B23" s="212"/>
      <c r="C23" s="75"/>
      <c r="D23" s="74"/>
      <c r="E23" s="74"/>
      <c r="F23" s="79"/>
      <c r="G23" s="75"/>
      <c r="H23" s="75"/>
      <c r="I23" s="75"/>
      <c r="J23" s="75"/>
      <c r="K23" s="75"/>
      <c r="L23" s="75"/>
      <c r="M23" s="74"/>
      <c r="N23" s="75"/>
      <c r="O23" s="75"/>
      <c r="P23" s="75"/>
      <c r="Q23" s="75"/>
    </row>
    <row r="24" spans="1:17" x14ac:dyDescent="0.25">
      <c r="A24" s="75"/>
      <c r="B24" s="75"/>
      <c r="C24" s="75"/>
      <c r="D24" s="214"/>
      <c r="E24" s="214"/>
      <c r="F24" s="79"/>
      <c r="G24" s="75"/>
      <c r="H24" s="75"/>
      <c r="I24" s="75"/>
      <c r="J24" s="75"/>
      <c r="K24" s="75"/>
      <c r="L24" s="75"/>
      <c r="M24" s="74"/>
      <c r="N24" s="75"/>
      <c r="O24" s="75"/>
      <c r="P24" s="75"/>
      <c r="Q24" s="75"/>
    </row>
    <row r="25" spans="1:17" x14ac:dyDescent="0.25">
      <c r="A25" s="75"/>
      <c r="B25" s="75"/>
      <c r="C25" s="75"/>
      <c r="D25" s="214"/>
      <c r="E25" s="214"/>
      <c r="F25" s="79"/>
      <c r="G25" s="75"/>
      <c r="H25" s="75"/>
      <c r="I25" s="75"/>
      <c r="J25" s="75"/>
      <c r="K25" s="75"/>
      <c r="L25" s="75"/>
      <c r="M25" s="74"/>
      <c r="N25" s="75"/>
      <c r="O25" s="75"/>
      <c r="P25" s="75"/>
      <c r="Q25" s="75"/>
    </row>
    <row r="26" spans="1:17" x14ac:dyDescent="0.25">
      <c r="A26" s="75"/>
      <c r="B26" s="212"/>
      <c r="C26" s="75"/>
      <c r="D26" s="74"/>
      <c r="E26" s="74"/>
      <c r="F26" s="79"/>
      <c r="G26" s="75"/>
      <c r="H26" s="75"/>
      <c r="I26" s="75"/>
      <c r="J26" s="75"/>
      <c r="K26" s="75"/>
      <c r="L26" s="75"/>
      <c r="M26" s="74"/>
      <c r="N26" s="75"/>
      <c r="O26" s="75"/>
      <c r="P26" s="75"/>
      <c r="Q26" s="75"/>
    </row>
    <row r="27" spans="1:17" x14ac:dyDescent="0.25">
      <c r="A27" s="75"/>
      <c r="B27" s="212"/>
      <c r="C27" s="75"/>
      <c r="D27" s="74"/>
      <c r="E27" s="74"/>
      <c r="F27" s="79"/>
      <c r="G27" s="75"/>
      <c r="H27" s="75"/>
      <c r="I27" s="75"/>
      <c r="J27" s="75"/>
      <c r="K27" s="75"/>
      <c r="L27" s="75"/>
      <c r="M27" s="74"/>
      <c r="N27" s="75"/>
      <c r="O27" s="75"/>
      <c r="P27" s="75"/>
      <c r="Q27" s="75"/>
    </row>
    <row r="28" spans="1:17" x14ac:dyDescent="0.25">
      <c r="A28" s="75"/>
      <c r="B28" s="212"/>
      <c r="C28" s="75"/>
      <c r="D28" s="74"/>
      <c r="E28" s="74"/>
      <c r="F28" s="79"/>
      <c r="G28" s="75"/>
      <c r="H28" s="75"/>
      <c r="I28" s="75"/>
      <c r="J28" s="74"/>
      <c r="K28" s="80"/>
      <c r="L28" s="75"/>
      <c r="M28" s="74"/>
      <c r="N28" s="75"/>
      <c r="O28" s="75"/>
      <c r="P28" s="75"/>
      <c r="Q28" s="75"/>
    </row>
    <row r="29" spans="1:17" x14ac:dyDescent="0.25">
      <c r="A29" s="75"/>
      <c r="B29" s="75"/>
      <c r="C29" s="75"/>
      <c r="D29" s="214"/>
      <c r="E29" s="214"/>
      <c r="F29" s="79"/>
      <c r="G29" s="75"/>
      <c r="H29" s="75"/>
      <c r="I29" s="75"/>
      <c r="J29" s="75"/>
      <c r="K29" s="75"/>
      <c r="L29" s="75"/>
      <c r="M29" s="74"/>
      <c r="N29" s="75"/>
      <c r="O29" s="75"/>
      <c r="P29" s="75"/>
      <c r="Q29" s="75"/>
    </row>
    <row r="30" spans="1:17" x14ac:dyDescent="0.25">
      <c r="A30" s="75"/>
      <c r="B30" s="75"/>
      <c r="C30" s="75"/>
      <c r="D30" s="74"/>
      <c r="E30" s="74"/>
      <c r="F30" s="79"/>
      <c r="G30" s="75"/>
      <c r="H30" s="75"/>
      <c r="I30" s="75"/>
      <c r="J30" s="75"/>
      <c r="K30" s="80"/>
      <c r="L30" s="213"/>
      <c r="M30" s="74"/>
      <c r="N30" s="75"/>
      <c r="O30" s="75"/>
      <c r="P30" s="75"/>
      <c r="Q30" s="75"/>
    </row>
    <row r="31" spans="1:17" x14ac:dyDescent="0.25">
      <c r="A31" s="75"/>
      <c r="B31" s="75"/>
      <c r="C31" s="75"/>
      <c r="D31" s="74"/>
      <c r="E31" s="74"/>
      <c r="F31" s="79"/>
      <c r="G31" s="75"/>
      <c r="H31" s="75"/>
      <c r="I31" s="75"/>
      <c r="J31" s="75"/>
      <c r="K31" s="80"/>
      <c r="L31" s="213"/>
      <c r="M31" s="74"/>
      <c r="N31" s="75"/>
      <c r="O31" s="75"/>
      <c r="P31" s="75"/>
      <c r="Q31" s="75"/>
    </row>
    <row r="32" spans="1:17" x14ac:dyDescent="0.25">
      <c r="A32" s="75"/>
      <c r="B32" s="212"/>
      <c r="C32" s="75"/>
      <c r="D32" s="74"/>
      <c r="E32" s="74"/>
      <c r="F32" s="79"/>
      <c r="G32" s="75"/>
      <c r="H32" s="75"/>
      <c r="I32" s="75"/>
      <c r="J32" s="75"/>
      <c r="K32" s="75"/>
      <c r="L32" s="75"/>
      <c r="M32" s="74"/>
      <c r="N32" s="75"/>
      <c r="O32" s="75"/>
      <c r="P32" s="75"/>
      <c r="Q32" s="75"/>
    </row>
    <row r="33" spans="1:17" x14ac:dyDescent="0.25">
      <c r="A33" s="75"/>
      <c r="B33" s="212"/>
      <c r="C33" s="75"/>
      <c r="D33" s="74"/>
      <c r="E33" s="74"/>
      <c r="F33" s="79"/>
      <c r="G33" s="75"/>
      <c r="H33" s="75"/>
      <c r="I33" s="74"/>
      <c r="J33" s="75"/>
      <c r="K33" s="75"/>
      <c r="L33" s="75"/>
      <c r="M33" s="75"/>
      <c r="N33" s="75"/>
      <c r="O33" s="75"/>
      <c r="P33" s="75"/>
      <c r="Q33" s="75"/>
    </row>
    <row r="34" spans="1:17" x14ac:dyDescent="0.25">
      <c r="A34" s="75"/>
      <c r="B34" s="212"/>
      <c r="C34" s="75"/>
      <c r="D34" s="74"/>
      <c r="E34" s="74"/>
      <c r="F34" s="79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17" x14ac:dyDescent="0.25">
      <c r="A35" s="75"/>
      <c r="B35" s="212"/>
      <c r="C35" s="75"/>
      <c r="D35" s="74"/>
      <c r="E35" s="74"/>
      <c r="F35" s="79"/>
      <c r="G35" s="75"/>
      <c r="H35" s="75"/>
      <c r="I35" s="74"/>
      <c r="J35" s="75"/>
      <c r="K35" s="75"/>
      <c r="L35" s="75"/>
      <c r="M35" s="75"/>
      <c r="N35" s="75"/>
      <c r="O35" s="75"/>
      <c r="P35" s="75"/>
      <c r="Q35" s="75"/>
    </row>
    <row r="36" spans="1:17" x14ac:dyDescent="0.25">
      <c r="A36" s="75"/>
      <c r="B36" s="75"/>
      <c r="C36" s="75"/>
      <c r="D36" s="214"/>
      <c r="E36" s="214"/>
      <c r="F36" s="79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1:17" x14ac:dyDescent="0.25">
      <c r="A37" s="75"/>
      <c r="B37" s="212"/>
      <c r="C37" s="75"/>
      <c r="D37" s="74"/>
      <c r="E37" s="74"/>
      <c r="F37" s="79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1:17" x14ac:dyDescent="0.25">
      <c r="A38" s="75"/>
      <c r="B38" s="212"/>
      <c r="C38" s="75"/>
      <c r="D38" s="74"/>
      <c r="E38" s="74"/>
      <c r="F38" s="79"/>
      <c r="G38" s="75"/>
      <c r="H38" s="75"/>
      <c r="I38" s="74"/>
      <c r="J38" s="74"/>
      <c r="K38" s="75"/>
      <c r="L38" s="75"/>
      <c r="M38" s="75"/>
      <c r="N38" s="75"/>
      <c r="O38" s="75"/>
      <c r="P38" s="75"/>
      <c r="Q38" s="75"/>
    </row>
    <row r="39" spans="1:17" x14ac:dyDescent="0.25">
      <c r="A39" s="75"/>
      <c r="B39" s="212"/>
      <c r="C39" s="75"/>
      <c r="D39" s="74"/>
      <c r="E39" s="74"/>
      <c r="F39" s="79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1:17" x14ac:dyDescent="0.25">
      <c r="A40" s="75"/>
      <c r="B40" s="212"/>
      <c r="C40" s="75"/>
      <c r="D40" s="74"/>
      <c r="E40" s="74"/>
      <c r="F40" s="79"/>
      <c r="G40" s="75"/>
      <c r="H40" s="75"/>
      <c r="I40" s="74"/>
      <c r="J40" s="74"/>
      <c r="K40" s="75"/>
      <c r="L40" s="75"/>
      <c r="M40" s="75"/>
      <c r="N40" s="75"/>
      <c r="O40" s="75"/>
      <c r="P40" s="75"/>
      <c r="Q40" s="75"/>
    </row>
    <row r="41" spans="1:17" x14ac:dyDescent="0.25">
      <c r="A41" s="75"/>
      <c r="B41" s="212"/>
      <c r="C41" s="75"/>
      <c r="D41" s="74"/>
      <c r="E41" s="74"/>
      <c r="F41" s="79"/>
      <c r="G41" s="75"/>
      <c r="H41" s="75"/>
      <c r="I41" s="75"/>
      <c r="J41" s="74"/>
      <c r="K41" s="75"/>
      <c r="L41" s="75"/>
      <c r="M41" s="75"/>
      <c r="N41" s="75"/>
      <c r="O41" s="75"/>
      <c r="P41" s="75"/>
      <c r="Q41" s="75"/>
    </row>
    <row r="42" spans="1:17" x14ac:dyDescent="0.25">
      <c r="A42" s="75"/>
      <c r="B42" s="212"/>
      <c r="C42" s="75"/>
      <c r="D42" s="74"/>
      <c r="E42" s="74"/>
      <c r="F42" s="79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1:17" x14ac:dyDescent="0.25">
      <c r="A43" s="75"/>
      <c r="B43" s="212"/>
      <c r="C43" s="75"/>
      <c r="D43" s="74"/>
      <c r="E43" s="74"/>
      <c r="F43" s="79"/>
      <c r="G43" s="75"/>
      <c r="H43" s="75"/>
      <c r="I43" s="74"/>
      <c r="J43" s="74"/>
      <c r="K43" s="75"/>
      <c r="L43" s="75"/>
      <c r="M43" s="75"/>
      <c r="N43" s="75"/>
      <c r="O43" s="75"/>
      <c r="P43" s="75"/>
      <c r="Q43" s="75"/>
    </row>
    <row r="44" spans="1:17" x14ac:dyDescent="0.25">
      <c r="A44" s="75"/>
      <c r="B44" s="212"/>
      <c r="C44" s="75"/>
      <c r="D44" s="74"/>
      <c r="E44" s="74"/>
      <c r="F44" s="79"/>
      <c r="G44" s="75"/>
      <c r="H44" s="75"/>
      <c r="I44" s="74"/>
      <c r="J44" s="74"/>
      <c r="K44" s="75"/>
      <c r="L44" s="75"/>
      <c r="M44" s="75"/>
      <c r="N44" s="75"/>
      <c r="O44" s="75"/>
      <c r="P44" s="75"/>
      <c r="Q44" s="75"/>
    </row>
    <row r="45" spans="1:17" x14ac:dyDescent="0.25">
      <c r="A45" s="75"/>
      <c r="B45" s="212"/>
      <c r="C45" s="75"/>
      <c r="D45" s="74"/>
      <c r="E45" s="74"/>
      <c r="F45" s="79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1:17" x14ac:dyDescent="0.25">
      <c r="A46" s="75"/>
      <c r="B46" s="212"/>
      <c r="C46" s="75"/>
      <c r="D46" s="74"/>
      <c r="E46" s="74"/>
      <c r="F46" s="79"/>
      <c r="G46" s="75"/>
      <c r="H46" s="75"/>
      <c r="I46" s="74"/>
      <c r="J46" s="75"/>
      <c r="K46" s="75"/>
      <c r="L46" s="75"/>
      <c r="M46" s="75"/>
      <c r="N46" s="75"/>
      <c r="O46" s="75"/>
      <c r="P46" s="75"/>
      <c r="Q46" s="75"/>
    </row>
    <row r="47" spans="1:17" x14ac:dyDescent="0.25">
      <c r="A47" s="75"/>
      <c r="B47" s="75"/>
      <c r="C47" s="75"/>
      <c r="D47" s="75"/>
      <c r="E47" s="75"/>
      <c r="F47" s="75"/>
      <c r="G47" s="75"/>
      <c r="H47" s="75"/>
      <c r="I47" s="74"/>
      <c r="J47" s="74"/>
      <c r="K47" s="74"/>
      <c r="L47" s="75"/>
      <c r="M47" s="75"/>
      <c r="N47" s="75"/>
      <c r="O47" s="75"/>
      <c r="P47" s="75"/>
      <c r="Q47" s="75"/>
    </row>
    <row r="48" spans="1:17" x14ac:dyDescent="0.25">
      <c r="A48" s="75"/>
      <c r="B48" s="75"/>
      <c r="C48" s="74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1:17" x14ac:dyDescent="0.25">
      <c r="A49" s="75"/>
      <c r="B49" s="75"/>
      <c r="C49" s="74"/>
      <c r="D49" s="74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7" x14ac:dyDescent="0.25">
      <c r="A50" s="75"/>
      <c r="B50" s="75"/>
      <c r="C50" s="74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1:17" x14ac:dyDescent="0.25">
      <c r="A51" s="75"/>
      <c r="B51" s="75"/>
      <c r="C51" s="74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1:17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1:17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1:17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1:17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</sheetData>
  <mergeCells count="26">
    <mergeCell ref="A2:B2"/>
    <mergeCell ref="C2:O2"/>
    <mergeCell ref="A4:A5"/>
    <mergeCell ref="B4:B5"/>
    <mergeCell ref="E4:I4"/>
    <mergeCell ref="J4:N4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B42:B44"/>
    <mergeCell ref="B45:B46"/>
    <mergeCell ref="L30:L31"/>
    <mergeCell ref="B32:B33"/>
    <mergeCell ref="B34:B35"/>
    <mergeCell ref="D36:E36"/>
    <mergeCell ref="B37:B38"/>
    <mergeCell ref="B39:B4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 1</vt:lpstr>
      <vt:lpstr>Разд 2</vt:lpstr>
      <vt:lpstr>Разд 3</vt:lpstr>
      <vt:lpstr>'Разд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User</cp:lastModifiedBy>
  <cp:lastPrinted>2022-05-30T08:27:44Z</cp:lastPrinted>
  <dcterms:created xsi:type="dcterms:W3CDTF">2019-06-04T06:21:32Z</dcterms:created>
  <dcterms:modified xsi:type="dcterms:W3CDTF">2022-05-30T08:45:39Z</dcterms:modified>
</cp:coreProperties>
</file>