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50" windowHeight="11700" tabRatio="584" activeTab="0"/>
  </bookViews>
  <sheets>
    <sheet name="изм. 2022 август " sheetId="1" r:id="rId1"/>
    <sheet name="изм. сент-дек 2021 для КСО" sheetId="2" r:id="rId2"/>
    <sheet name="перечень 2018 (2)" sheetId="3" state="hidden" r:id="rId3"/>
  </sheets>
  <definedNames>
    <definedName name="_xlnm.Print_Titles" localSheetId="0">'изм. 2022 август '!$10:$13</definedName>
    <definedName name="_xlnm.Print_Titles" localSheetId="1">'изм. сент-дек 2021 для КСО'!$11:$14</definedName>
    <definedName name="_xlnm.Print_Titles" localSheetId="2">'перечень 2018 (2)'!$12:$12</definedName>
    <definedName name="_xlnm.Print_Area" localSheetId="0">'изм. 2022 август '!$A$1:$P$176</definedName>
    <definedName name="_xlnm.Print_Area" localSheetId="1">'изм. сент-дек 2021 для КСО'!$A$1:$P$174</definedName>
    <definedName name="_xlnm.Print_Area" localSheetId="2">'перечень 2018 (2)'!$A$1:$Q$60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3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субсидии бджетам мун. Орзований на софнансир расходов направляемых на оплату труда и начисления на выплаты по оплате труда работникам мун. Учреждений 71100</t>
        </r>
      </text>
    </comment>
    <comment ref="B156" authorId="0">
      <text>
        <r>
          <rPr>
            <b/>
            <sz val="9"/>
            <rFont val="Tahoma"/>
            <family val="2"/>
          </rPr>
          <t>Нестеренко Виктория Андреевна: з/пл работникам КШП  работающим в школьных столовых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3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субсидии бджетам мун. Орзований на софнансир расходов направляемых на оплату труда и начисления на выплаты по оплате труда работникам мун. Учреждений 71100</t>
        </r>
      </text>
    </comment>
    <comment ref="B153" authorId="0">
      <text>
        <r>
          <rPr>
            <b/>
            <sz val="9"/>
            <rFont val="Tahoma"/>
            <family val="2"/>
          </rPr>
          <t>Нестеренко Виктория Андреевна: з/пл работникам КШП  работающим в школьных столовых</t>
        </r>
      </text>
    </comment>
  </commentList>
</comments>
</file>

<file path=xl/sharedStrings.xml><?xml version="1.0" encoding="utf-8"?>
<sst xmlns="http://schemas.openxmlformats.org/spreadsheetml/2006/main" count="727" uniqueCount="246">
  <si>
    <t>1.1</t>
  </si>
  <si>
    <t>1.2</t>
  </si>
  <si>
    <t>1.3</t>
  </si>
  <si>
    <t>1.4</t>
  </si>
  <si>
    <t>1.5</t>
  </si>
  <si>
    <t>ВСЕГО</t>
  </si>
  <si>
    <t>МБ</t>
  </si>
  <si>
    <t>ОБ</t>
  </si>
  <si>
    <t>№ п/п</t>
  </si>
  <si>
    <t>2</t>
  </si>
  <si>
    <t>3</t>
  </si>
  <si>
    <t>4</t>
  </si>
  <si>
    <t xml:space="preserve">Оказание муниципальной услуги по предоставлению дошкольного образования и воспитания </t>
  </si>
  <si>
    <t>всего</t>
  </si>
  <si>
    <t>Оказание муниципальной услуги по предоставлению дополнительного образования в сфере общего образования</t>
  </si>
  <si>
    <t>1</t>
  </si>
  <si>
    <t>5</t>
  </si>
  <si>
    <t>6</t>
  </si>
  <si>
    <t>7</t>
  </si>
  <si>
    <t>8</t>
  </si>
  <si>
    <t>Источники финансирования</t>
  </si>
  <si>
    <t>Наименование</t>
  </si>
  <si>
    <t>9</t>
  </si>
  <si>
    <t>10</t>
  </si>
  <si>
    <t>11</t>
  </si>
  <si>
    <t>12</t>
  </si>
  <si>
    <t>Показатели (индикаторы) результативности выполнения программных мероприятий</t>
  </si>
  <si>
    <t>Исполнители</t>
  </si>
  <si>
    <t>Наименование мероприятия</t>
  </si>
  <si>
    <t>2014</t>
  </si>
  <si>
    <t>2015</t>
  </si>
  <si>
    <t>в том числе по годам</t>
  </si>
  <si>
    <t>Объем финансирования, руб.</t>
  </si>
  <si>
    <t>Ед. изм.</t>
  </si>
  <si>
    <t>Цель: Организация предоставления качественного и доступного общего и дополнительного образования на основе эффективного функционирования муниципальной образовательной сети</t>
  </si>
  <si>
    <t>Задача: Повышение качества и доступности образования города Кировска</t>
  </si>
  <si>
    <t>%</t>
  </si>
  <si>
    <t>Обеспечение бесплатным питанием отдельных категорий обучающихся</t>
  </si>
  <si>
    <t>Доля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обечение по очной форме в образовательных учреждениях профессионального образования обеспеченных одеждой, обувью, мягким инвентарем, оборудованием и единовременным денежным пособием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</si>
  <si>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</si>
  <si>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чел.</t>
  </si>
  <si>
    <t>ИТОГО по Программе</t>
  </si>
  <si>
    <t>в том числе: муниципальные услуги (работы)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</si>
  <si>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</si>
  <si>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МДОО</t>
  </si>
  <si>
    <t>МОО</t>
  </si>
  <si>
    <t>1.1.1</t>
  </si>
  <si>
    <t>1.1.2</t>
  </si>
  <si>
    <t>1.1.3</t>
  </si>
  <si>
    <t>1.2.1</t>
  </si>
  <si>
    <t>1.2.2</t>
  </si>
  <si>
    <t>1.3.1</t>
  </si>
  <si>
    <t>1.3.2</t>
  </si>
  <si>
    <t>1.4.1</t>
  </si>
  <si>
    <t xml:space="preserve">Перечень программных мероприятий </t>
  </si>
  <si>
    <t xml:space="preserve">Таблица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</si>
  <si>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1.5.1</t>
  </si>
  <si>
    <t>2018</t>
  </si>
  <si>
    <t>2019</t>
  </si>
  <si>
    <t>Количество детей и подростков, в том числе детей, находящихся в трудной жизненной ситуации, охваченных организованным отдыхом в каникулярный период в оздоровительных учреждениях с дневным пребыванием детей на базе МБОУ</t>
  </si>
  <si>
    <t>Организация отдыха детей Мурманской области в муниципальных образовательных организациях за счет средств местного бюджета</t>
  </si>
  <si>
    <t>1.6</t>
  </si>
  <si>
    <t>Оказание муниципальной услуги по предоставлению питания обучающимся</t>
  </si>
  <si>
    <t>1.5.3</t>
  </si>
  <si>
    <t>1.5.4</t>
  </si>
  <si>
    <t>Количество человеко-часов пребывания</t>
  </si>
  <si>
    <t>человеко -час</t>
  </si>
  <si>
    <t>чел./человеко-день</t>
  </si>
  <si>
    <t>13</t>
  </si>
  <si>
    <t>Количество детей и подростков, в том числе детей, находящихся в трудной жизненной ситуации, охваченных организованным отдыхом в каникулярный период в оздоровительных учреждениях с дневным пребыванием детей на базе МБОУ (обеспечение питанием в каникулярный период)</t>
  </si>
  <si>
    <t>Доля освоения выделенных средств</t>
  </si>
  <si>
    <t>не менее 98,00</t>
  </si>
  <si>
    <t xml:space="preserve">Приложение </t>
  </si>
  <si>
    <t>МАОДО ЦДТ "Хибины"</t>
  </si>
  <si>
    <t>МАУО       "Кировский КШП"</t>
  </si>
  <si>
    <t>МАУО           "Кировский КШП"</t>
  </si>
  <si>
    <t xml:space="preserve"> МАУО           "Кировский КШП"</t>
  </si>
  <si>
    <t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города Кировска                                                                                                                            от            №                                                                        Приложение к Программе</t>
  </si>
  <si>
    <t>2020</t>
  </si>
  <si>
    <t xml:space="preserve">Число обучающихся- получателей услуги: бесплатным питанием льготных категорий
- 5- дневная учебная неделя
- 6- дневная учебная неделя                                                                                                                                                      
 </t>
  </si>
  <si>
    <t xml:space="preserve">                                                               306                                                                                                                                               517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</si>
  <si>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Число обучающихся- получателей услуги</t>
  </si>
  <si>
    <t>Основное мероприятие: Предоставление дошкольного образования и воспитания</t>
  </si>
  <si>
    <t>Основное мероприятие: Предоставление общедоступного и бесплатного начального общего, основного общего, среднего (полного) общего образования по основным  общеобразовательным программам</t>
  </si>
  <si>
    <t>Основное мероприятие: Предоставление дополнительного образования в сфере общего образования</t>
  </si>
  <si>
    <t>Основное мероприятие: Мероприятия, направленные на  организацию отдыха и оздоровления детей в каникулярный период в оздоровительных учреждениях с дневным пребыванием детей на базе МБОУ</t>
  </si>
  <si>
    <t>Основное мероприятие: Организация и предоставление школьного питания</t>
  </si>
  <si>
    <t>тыс. руб.</t>
  </si>
  <si>
    <t>1 410/
13 360</t>
  </si>
  <si>
    <t>_________________________________________________</t>
  </si>
  <si>
    <t xml:space="preserve"> софинансирование расходов, направляемых на оплату труда и начисления на выплаты по оплате труда работникам муниципальных учреждений</t>
  </si>
  <si>
    <t>Цель: Сохранение и развитие комплекса муниципальных услуг в сфере физической культуры и спорта, оказываемых на территории муниципального образования город Кировск с подведомственной территорией</t>
  </si>
  <si>
    <t>Задача: Обеспечение деятельности муниципальных учреждений в области физической культуры и спорта, повышение качества предоставляемых ими муниципальных услуг</t>
  </si>
  <si>
    <t>Основное мероприятие: Обеспечение до-ступа к спор-тивным объектам МАУ СОК «Горняк</t>
  </si>
  <si>
    <t>Комитет образова-ния, куль-туры и спорта ад-министра-ции города Кировск</t>
  </si>
  <si>
    <t>Предоставление услуг спортивных объектов МАУ СОК «Горняк»</t>
  </si>
  <si>
    <t>софинансирование расходов, направляемых на оплату труда и начисления на выплаты по оплате труда работникам муниципальных учреждений</t>
  </si>
  <si>
    <t>МАУ СОК «Горняк»</t>
  </si>
  <si>
    <t xml:space="preserve">Предостав-ление в поль-зование населению спортивных сооружений, спортивного инвентаря </t>
  </si>
  <si>
    <t>часы</t>
  </si>
  <si>
    <t>Количество спортивных сооружений</t>
  </si>
  <si>
    <t>единиц</t>
  </si>
  <si>
    <t xml:space="preserve">Мероприятие:
Создание условий для обеспечения деятельности в области спорта
</t>
  </si>
  <si>
    <t>Предоставление услуг в сфере физической культуры и спорта</t>
  </si>
  <si>
    <t>Объем освоен-ных финансовых средств</t>
  </si>
  <si>
    <t>99,5 %</t>
  </si>
  <si>
    <t>МАУ «СШ г. Кировска»</t>
  </si>
  <si>
    <t>Количество обоснованных жалоб со сторо-ны потребителей услуг</t>
  </si>
  <si>
    <t>1.5.2</t>
  </si>
  <si>
    <t>Соотношение средней
заработной платы
педагогических работников
общеобразовательных
организаций и средней
заработной платы в
Мурманской области</t>
  </si>
  <si>
    <t>Соотношение средней заработной платы педагогических работников МАОДО ЦДТ "Хибины"  и средней заработной
платы учителей в Мурманской области</t>
  </si>
  <si>
    <t xml:space="preserve">Доля отдохнувших и
оздоровленных детей в
возрасте от 6 до 18 лет в
оздоровительных учреждениях
от общего количества детей
данной возрастной категории
</t>
  </si>
  <si>
    <t xml:space="preserve">ед. </t>
  </si>
  <si>
    <t>Число обучающихся - получателей услуги     
общеобразовательных
организаций Мурманской
области</t>
  </si>
  <si>
    <t xml:space="preserve">Число обучающихся - получателей услуги
</t>
  </si>
  <si>
    <t>человеко-час</t>
  </si>
  <si>
    <t xml:space="preserve">                                                                                                                                      Приложение к Программе</t>
  </si>
  <si>
    <t>Ответсвтенный исполнитель</t>
  </si>
  <si>
    <t>Сроки выполнения</t>
  </si>
  <si>
    <t>Соотношение средней заработной платы
педагогических работников МДОО и средней заработной платы
работников в Мурманской области</t>
  </si>
  <si>
    <t>ежегодно</t>
  </si>
  <si>
    <t xml:space="preserve">3. Перечень мероприятий и сведения об объемах финансирования подпрограммы </t>
  </si>
  <si>
    <t>01.01.2021-31.12.2024</t>
  </si>
  <si>
    <t>ед.</t>
  </si>
  <si>
    <t>ВБС</t>
  </si>
  <si>
    <t>МОО,  МАУО           "Кировский КШП"</t>
  </si>
  <si>
    <t>1.1.4</t>
  </si>
  <si>
    <t>1.1.5</t>
  </si>
  <si>
    <t>Доля родителей, воспользовавшиеся правом получения компенсации части родительской платы, в общем количестве родителей, обратившихся за получением компенсации части родительской платы, (%)</t>
  </si>
  <si>
    <t>S1100</t>
  </si>
  <si>
    <t>Р1100</t>
  </si>
  <si>
    <t>1-4 классы льготники L3040</t>
  </si>
  <si>
    <t>5-11 классы льготники 75320</t>
  </si>
  <si>
    <t>53030+73030 ФБ+ОБ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</si>
  <si>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</si>
  <si>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1-4 классы ВСЕ    71250 и S2150</t>
  </si>
  <si>
    <t>компесация родителям 75370</t>
  </si>
  <si>
    <t>P1100</t>
  </si>
  <si>
    <t>Годы реализации</t>
  </si>
  <si>
    <t>Объем финансирования</t>
  </si>
  <si>
    <t>Всего</t>
  </si>
  <si>
    <t>ОБ, ФБ</t>
  </si>
  <si>
    <t>Наименование показателей</t>
  </si>
  <si>
    <t>Показатели результативности цели, задач, программных мероприятий</t>
  </si>
  <si>
    <t>1.5.5</t>
  </si>
  <si>
    <t xml:space="preserve">расходы КШП 24910 </t>
  </si>
  <si>
    <t>был показатель Число обучающихся- получателей услуги           1401 чел.</t>
  </si>
  <si>
    <t>Доля обучающихся, получающих начальное общее образование в муниципальных образовательных оргнаизациях,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</t>
  </si>
  <si>
    <t>МБ и ОБ в одной строке был показатель число обуч. Получателей услуги 375 чел.</t>
  </si>
  <si>
    <t>Доля педагогических работников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получивших вознаграждение за классное руководство, в общей численности педагогических работников такой категории</t>
  </si>
  <si>
    <t xml:space="preserve">Число обучающихся 5-11 классов из числа льготной категории - получателей услуги                                                    
 </t>
  </si>
  <si>
    <t>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 (Субвенция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</si>
  <si>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Компенсация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образования)</t>
  </si>
  <si>
    <t>Реализация мер социальной поддержки (Субсидии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учреждений)</t>
  </si>
  <si>
    <t xml:space="preserve">Доля работников ДОО, получивших доплату до минимального размера оплаты труда  от общего количества работников, имеющих право на получение данной выплаты </t>
  </si>
  <si>
    <t>Доплата до минимального размера оплаты труда работникам учреждений дополнительного образования, подведомственным КОКиС (Средства местного бюджета, превышающие размер расходного обязательства муниципального образования на оплату труда и начисления на выплаты по оплате труда работникам дошкольных образовательных организаций Р1100)</t>
  </si>
  <si>
    <t xml:space="preserve">Доля работников МАОДО ЦДТ "Хибины", получивших доплату до минимального размера оплаты труда  от общего количества работников, имеющих право на получение данной выплаты </t>
  </si>
  <si>
    <t xml:space="preserve">Доля работников МАУО "Кировский КШП", получивших доплату до минимального размера оплаты труда  от общего количества работников, имеющих право на получение данной выплаты </t>
  </si>
  <si>
    <t>Доплата до минимального размера оплаты труда работникам МАУО "Кировский КШП" (Средства местного бюджета, превышающие размер расходного обязательства муниципального образования на оплату труда и начисления на выплаты по оплате труда работникам дошкольных образовательных организаций Р1100)</t>
  </si>
  <si>
    <t xml:space="preserve">Количество МОО 
(муниципальных образовательных организаций) - участников оздоровительной кампании
</t>
  </si>
  <si>
    <t>Доля обучающихся 1-4 классов из числа льготной категории, получающих начальное общее образование в муниципальных образовательных оргнаизациях, получающих бесплатное горячее питание, к общему количеству обучающихся данной категории имеющих право на получение данной поддержки</t>
  </si>
  <si>
    <t>Число образовательных организаций обслуживаемых МАУО «Кировский КШП»</t>
  </si>
  <si>
    <t>Охват обучающихся питанием в общем числе обучающихся в общеобразовательных организациях</t>
  </si>
  <si>
    <t>Организация отдыха детей Мурманской области в оздоровительных учреждениях с дневным пребыванием на базе муниципальных учреждений (Дополнительные расходы на организацию отдыха детей Мурманской области в оздоровительных учреждениях с дневным пребыванием, организованных на базе муниципальных учреждений)</t>
  </si>
  <si>
    <t>Число обучающихся, родители которых воспользовались правом получения компенсации части родительской платы за присмотр и уход за детьми, посещающими дошкольные образовательные организации</t>
  </si>
  <si>
    <t>1.1.6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</si>
  <si>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</si>
  <si>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 xml:space="preserve">Доля работников дошкольных учреждений, получивших компенсацию расходов по льготному проезду в отпуск от общей численности обратившихся </t>
  </si>
  <si>
    <t>1.1.7</t>
  </si>
  <si>
    <t>1.1.8</t>
  </si>
  <si>
    <t>Разработка единого меню для дошкольных образовательных учреждений</t>
  </si>
  <si>
    <t xml:space="preserve">Количество дошкольных образовательных учреждений использующих разработанное меню </t>
  </si>
  <si>
    <t>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</si>
  <si>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Доля работников дошкольных учреждений, получивших меры социальной поддержки от общей числености обратившихся работников за данной выплатой</t>
  </si>
  <si>
    <t>оплата услуг бухгалтерии (организация мер поддержки) 75360, узнавать данные для отчета у Гусевой Олеси Анатольевны тел. 54175                     75360</t>
  </si>
  <si>
    <t xml:space="preserve"> S1100</t>
  </si>
  <si>
    <t>1.1.9</t>
  </si>
  <si>
    <t>Доплата до минимального размера оплаты труда работникам учреждений дошкольного образования, подведомственным КОКиС (Средства местного бюджета, превышающие размер расходного обязательства муниципального образования на оплату труда и начисления на выплаты по оплате труда работникам дошкольных образовательных организаций Р1100)</t>
  </si>
  <si>
    <t>Доплата до минимального размера оплаты труда работникам учреждений дошкольного образования за счет средств местного бюджета (Софинансирование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учреждений)</t>
  </si>
  <si>
    <t xml:space="preserve">Просроченная кредиторская задолженность на оплату труда </t>
  </si>
  <si>
    <t xml:space="preserve">Доля работников дошкольных образоввательных учреждений получивших доплату до минимального размера оплаты труда за счет средств местного бюджета  от общего количества работников, имеющих право на получение данной выплаты </t>
  </si>
  <si>
    <t>1.1.10</t>
  </si>
  <si>
    <t xml:space="preserve">Предоставление субвенции на реализацию Закона Мурманской области «О единой субвенции местным бюджетам на финансовое обеспечение образовательной деятельности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</si>
  <si>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</si>
  <si>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1.2.2.1.</t>
  </si>
  <si>
    <t>1.2.3</t>
  </si>
  <si>
    <t xml:space="preserve">Среднегодовое количество воспитанников ДОО, получающих услугу </t>
  </si>
  <si>
    <t xml:space="preserve">Среднегодовое количество обучающихся, получающих услугу 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</si>
  <si>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 (Субвенция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пособием)</t>
  </si>
  <si>
    <t>1.2.4</t>
  </si>
  <si>
    <t>1.2.5</t>
  </si>
  <si>
    <t>1.2.6</t>
  </si>
  <si>
    <t xml:space="preserve">Доля работников общеобразовательных организаций, получивших компенсацию расходов по льготному проезду в отпуск от общей численности обратившихся </t>
  </si>
  <si>
    <t>Единовременное пособие работникам по специальностям на которые имеется дефицит специалистов, заключившие трудовые договоры о работе в организациях, финансируемых из бюджета города Кировска, прибывшие в соответствии с этими договорами из других регионов Российской Федерации, а также городов (поселений) Мурманской области, кроме города Апатиты</t>
  </si>
  <si>
    <t>Доля работников общеобразовательных учреждений, получивших единовременное пособие  от общей числености работников претендующих на данную выплату</t>
  </si>
  <si>
    <t xml:space="preserve">Доля работников общеобразовательных учреждений, получивших меры социальной поддержки от общей числености обратившихся работников за данной выплатой </t>
  </si>
  <si>
    <t>1.2.7</t>
  </si>
  <si>
    <t>Софинансирование за счет местного бюджета расходов, направляемых на оплатц труда и начисления на выплаты по оплате труда работникам муниципальных цучреждений</t>
  </si>
  <si>
    <t>Тыс. руб.</t>
  </si>
  <si>
    <t>1.2.8</t>
  </si>
  <si>
    <t xml:space="preserve">Доля работников общеобразовательных организаций, получивших доплату до минимального размера оплаты труда  от общего количества работников, имеющих право на получение данной выплаты </t>
  </si>
  <si>
    <t>1.3.3</t>
  </si>
  <si>
    <t xml:space="preserve">Доля работников учреждений дополнительного образования, получивших компенсацию расходов по льготному проезду в отпуск от общей численности обратившихся </t>
  </si>
  <si>
    <t>1.3.4</t>
  </si>
  <si>
    <t>Расходы на компенсационные выплаты и выплаты, осуществляемые при предоставлении социальных гарантий работникам, уволенным по сокращению штатной численности в связи с проведением мероприятий по оптимизации деятельности муниципальных учреждений города Кировска</t>
  </si>
  <si>
    <t>Доля работников учреждений дополнительного образования, получивших меры социальной поддержки от общей числености обратившихся работников за данной выплатой</t>
  </si>
  <si>
    <t xml:space="preserve">Доля работников МАУО "Кировский КШП", получивших компенсацию расходов на оплату стоимости проезда и провоза багажа к месту использования отпуска (отдыха) и обратно от общей численности обратившихся </t>
  </si>
  <si>
    <t>1.5.6</t>
  </si>
  <si>
    <t>Обеспечение бесплатным питанием отдельных категорий обучающихся (5-11 кл.) (Субвенция на обеспечение бесплатным питанием отдельных категорий обучающихся)</t>
  </si>
  <si>
    <t xml:space="preserve">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</t>
  </si>
  <si>
    <t>Среднегодовое количество льготной категории обучающихся, получающих услугу бесплатного питания (чел.)</t>
  </si>
  <si>
    <t>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(Софинансирование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 МБ) (Субсидии бюджетам муниципальных образований на организацию бесплатного горячего питания обучающихся , аолучающих начальное общее образование в муниципальных образовательных организациях за счет средств местного бюджета ОБ)</t>
  </si>
  <si>
    <t>Организация отдыха детей Мурманской области в оздоровительных учреждениях с дневным пребыванием на базе муниципальных учреждений</t>
  </si>
  <si>
    <t>Доля обучающихся, получающих начальное общее образование в муниципальных образовательных оргнаизациях,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 за счет средств областного бюджета</t>
  </si>
  <si>
    <t>Доля обучающихся, получающих начальное общее образование в муниципальных образовательных оргнаизациях,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 за счет средств местного бюджета</t>
  </si>
  <si>
    <t>1.5.7</t>
  </si>
  <si>
    <t>ИТОГО по Подпрограмме</t>
  </si>
  <si>
    <t>Приложение № 2 к Постановлению администрации</t>
  </si>
  <si>
    <t xml:space="preserve">муниципального округа город Кировск с </t>
  </si>
  <si>
    <t xml:space="preserve">   </t>
  </si>
  <si>
    <t xml:space="preserve"> от ________________ № _________</t>
  </si>
  <si>
    <t>подведомственной территорией Мурманской области</t>
  </si>
  <si>
    <t>1.1.11</t>
  </si>
  <si>
    <t>Доля работников учреждений дошкольного образования, получивших компенсационные выплаты от общей численности обратившихся за данной выплатой</t>
  </si>
  <si>
    <t>1.3.5</t>
  </si>
  <si>
    <t xml:space="preserve">                                                подведомственной территорией Мурманской области</t>
  </si>
  <si>
    <t xml:space="preserve">                                                от ________________ № _________</t>
  </si>
  <si>
    <t xml:space="preserve">                                                муниципального округа город Кировск с</t>
  </si>
  <si>
    <t xml:space="preserve">                                                Приложение № 2 к Постановлению администрации</t>
  </si>
  <si>
    <t>Доля работников учреждений дошкольного образования, получивших компенсационные выплаты от общей численности работников обратившихся за данной выплатой</t>
  </si>
  <si>
    <t xml:space="preserve">                                 </t>
  </si>
  <si>
    <t xml:space="preserve"> Финансовое обеспечение образовательной деятельности </t>
  </si>
  <si>
    <t>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</si>
  <si>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К</t>
  </si>
  <si>
    <t>Компенсация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</si>
  <si>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Оплата труда и начисления на выплаты по оплате труда работникам муниципальных учреждений</t>
  </si>
  <si>
    <t xml:space="preserve">Финансовое обеспечение образовательной деятельности 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</si>
  <si>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</si>
  <si>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не требует финансирования</t>
  </si>
  <si>
    <t>Расходы, направляемые на оплату труда и начисления на выплаты по оплате труда работникам муниципальных учреждений</t>
  </si>
  <si>
    <t xml:space="preserve">Оплата труда и начисления на выплаты по оплате труда работникам дошкольных образовательных организаций </t>
  </si>
  <si>
    <t xml:space="preserve">Оплата труда работникам дошкольных образовательных организаций </t>
  </si>
  <si>
    <t xml:space="preserve"> S1100 71100 и Р1100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</si>
  <si>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МБ</t>
  </si>
  <si>
    <t xml:space="preserve">Организация бесплатного горячего питания обучающихся , аолучающих начальное общее образование в муниципальных образовательных организациях за счет средств областного бюджета </t>
  </si>
  <si>
    <t>Оплата труда и начисления на выплаты по оплате труда работникам МАУО КШП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</si>
</sst>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_р_._-;\-* #,##0_р_._-;_-* &quot;-&quot;??_р_.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22"/>
      <name val="Arial"/>
      <family val="2"/>
    </font>
    <font>
      <b/>
      <sz val="22"/>
      <name val="Arial"/>
      <family val="2"/>
    </font>
    <font>
      <b/>
      <sz val="23"/>
      <name val="Arial"/>
      <family val="2"/>
    </font>
    <font>
      <sz val="2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b/>
      <sz val="23"/>
      <name val="Times New Roman"/>
      <family val="1"/>
    </font>
    <font>
      <sz val="2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sz val="23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23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rgb="FFFF0000"/>
      <name val="Arial"/>
      <family val="2"/>
    </font>
    <font>
      <sz val="23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23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50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4" fontId="12" fillId="0" borderId="0" xfId="0" applyNumberFormat="1" applyFont="1" applyAlignment="1">
      <alignment wrapText="1"/>
    </xf>
    <xf numFmtId="4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20" fillId="32" borderId="12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left" vertical="center" wrapText="1"/>
    </xf>
    <xf numFmtId="4" fontId="20" fillId="32" borderId="0" xfId="0" applyNumberFormat="1" applyFont="1" applyFill="1" applyBorder="1" applyAlignment="1">
      <alignment vertical="center" wrapText="1"/>
    </xf>
    <xf numFmtId="4" fontId="20" fillId="32" borderId="14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20" fillId="32" borderId="12" xfId="0" applyNumberFormat="1" applyFont="1" applyFill="1" applyBorder="1" applyAlignment="1">
      <alignment vertical="top" wrapText="1"/>
    </xf>
    <xf numFmtId="49" fontId="19" fillId="0" borderId="13" xfId="0" applyNumberFormat="1" applyFont="1" applyBorder="1" applyAlignment="1">
      <alignment horizontal="center" vertical="center" wrapText="1"/>
    </xf>
    <xf numFmtId="4" fontId="20" fillId="32" borderId="0" xfId="0" applyNumberFormat="1" applyFont="1" applyFill="1" applyBorder="1" applyAlignment="1">
      <alignment vertical="top" wrapText="1"/>
    </xf>
    <xf numFmtId="4" fontId="20" fillId="32" borderId="14" xfId="0" applyNumberFormat="1" applyFont="1" applyFill="1" applyBorder="1" applyAlignment="1">
      <alignment vertical="top" wrapText="1"/>
    </xf>
    <xf numFmtId="4" fontId="17" fillId="32" borderId="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4" fontId="17" fillId="32" borderId="10" xfId="0" applyNumberFormat="1" applyFont="1" applyFill="1" applyBorder="1" applyAlignment="1">
      <alignment horizontal="left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75" fillId="32" borderId="10" xfId="0" applyFont="1" applyFill="1" applyBorder="1" applyAlignment="1">
      <alignment horizontal="left" vertical="center" wrapText="1"/>
    </xf>
    <xf numFmtId="0" fontId="75" fillId="32" borderId="10" xfId="0" applyFont="1" applyFill="1" applyBorder="1" applyAlignment="1">
      <alignment horizontal="center" vertical="center" wrapText="1"/>
    </xf>
    <xf numFmtId="0" fontId="75" fillId="32" borderId="15" xfId="0" applyFont="1" applyFill="1" applyBorder="1" applyAlignment="1">
      <alignment horizontal="center" vertical="center" wrapText="1"/>
    </xf>
    <xf numFmtId="2" fontId="75" fillId="32" borderId="16" xfId="0" applyNumberFormat="1" applyFont="1" applyFill="1" applyBorder="1" applyAlignment="1">
      <alignment horizontal="center" vertical="center" wrapText="1"/>
    </xf>
    <xf numFmtId="0" fontId="76" fillId="32" borderId="10" xfId="0" applyFont="1" applyFill="1" applyBorder="1" applyAlignment="1">
      <alignment horizontal="left" vertical="center" wrapText="1"/>
    </xf>
    <xf numFmtId="0" fontId="75" fillId="32" borderId="12" xfId="0" applyFont="1" applyFill="1" applyBorder="1" applyAlignment="1">
      <alignment vertical="center" wrapText="1"/>
    </xf>
    <xf numFmtId="0" fontId="75" fillId="32" borderId="0" xfId="0" applyFont="1" applyFill="1" applyBorder="1" applyAlignment="1">
      <alignment vertical="center" wrapText="1"/>
    </xf>
    <xf numFmtId="0" fontId="76" fillId="32" borderId="17" xfId="0" applyFont="1" applyFill="1" applyBorder="1" applyAlignment="1">
      <alignment horizontal="left" vertical="center" wrapText="1"/>
    </xf>
    <xf numFmtId="0" fontId="76" fillId="32" borderId="14" xfId="0" applyFont="1" applyFill="1" applyBorder="1" applyAlignment="1">
      <alignment vertical="center" wrapText="1"/>
    </xf>
    <xf numFmtId="0" fontId="76" fillId="32" borderId="18" xfId="0" applyFont="1" applyFill="1" applyBorder="1" applyAlignment="1">
      <alignment vertical="center" wrapText="1"/>
    </xf>
    <xf numFmtId="0" fontId="17" fillId="32" borderId="10" xfId="0" applyFont="1" applyFill="1" applyBorder="1" applyAlignment="1">
      <alignment horizontal="left" vertical="center" wrapText="1"/>
    </xf>
    <xf numFmtId="0" fontId="76" fillId="32" borderId="10" xfId="0" applyFont="1" applyFill="1" applyBorder="1" applyAlignment="1">
      <alignment horizontal="left" vertical="top" wrapText="1"/>
    </xf>
    <xf numFmtId="0" fontId="77" fillId="0" borderId="0" xfId="0" applyFont="1" applyAlignment="1">
      <alignment/>
    </xf>
    <xf numFmtId="0" fontId="78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4" fontId="77" fillId="0" borderId="0" xfId="0" applyNumberFormat="1" applyFont="1" applyFill="1" applyAlignment="1">
      <alignment/>
    </xf>
    <xf numFmtId="4" fontId="19" fillId="0" borderId="19" xfId="0" applyNumberFormat="1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center" vertical="center" wrapText="1"/>
    </xf>
    <xf numFmtId="0" fontId="76" fillId="32" borderId="19" xfId="0" applyFont="1" applyFill="1" applyBorder="1" applyAlignment="1">
      <alignment horizontal="left" vertical="center" wrapText="1"/>
    </xf>
    <xf numFmtId="4" fontId="19" fillId="32" borderId="20" xfId="0" applyNumberFormat="1" applyFont="1" applyFill="1" applyBorder="1" applyAlignment="1">
      <alignment horizontal="center" vertical="center" wrapText="1"/>
    </xf>
    <xf numFmtId="4" fontId="15" fillId="32" borderId="10" xfId="0" applyNumberFormat="1" applyFont="1" applyFill="1" applyBorder="1" applyAlignment="1">
      <alignment horizontal="center" vertical="center" wrapText="1"/>
    </xf>
    <xf numFmtId="4" fontId="19" fillId="32" borderId="21" xfId="60" applyNumberFormat="1" applyFont="1" applyFill="1" applyBorder="1" applyAlignment="1">
      <alignment horizontal="center" vertical="center" wrapText="1"/>
    </xf>
    <xf numFmtId="4" fontId="19" fillId="32" borderId="17" xfId="0" applyNumberFormat="1" applyFont="1" applyFill="1" applyBorder="1" applyAlignment="1">
      <alignment horizontal="center" vertical="center" wrapText="1"/>
    </xf>
    <xf numFmtId="4" fontId="19" fillId="32" borderId="13" xfId="0" applyNumberFormat="1" applyFont="1" applyFill="1" applyBorder="1" applyAlignment="1">
      <alignment horizontal="center" vertical="center" wrapText="1"/>
    </xf>
    <xf numFmtId="4" fontId="19" fillId="32" borderId="15" xfId="0" applyNumberFormat="1" applyFont="1" applyFill="1" applyBorder="1" applyAlignment="1">
      <alignment horizontal="center" vertical="center" wrapText="1"/>
    </xf>
    <xf numFmtId="4" fontId="19" fillId="32" borderId="16" xfId="0" applyNumberFormat="1" applyFont="1" applyFill="1" applyBorder="1" applyAlignment="1">
      <alignment horizontal="center" vertical="center" wrapText="1"/>
    </xf>
    <xf numFmtId="4" fontId="79" fillId="32" borderId="10" xfId="0" applyNumberFormat="1" applyFont="1" applyFill="1" applyBorder="1" applyAlignment="1">
      <alignment horizontal="center" vertical="center" wrapText="1"/>
    </xf>
    <xf numFmtId="4" fontId="17" fillId="32" borderId="21" xfId="0" applyNumberFormat="1" applyFont="1" applyFill="1" applyBorder="1" applyAlignment="1">
      <alignment horizontal="center" vertical="center" wrapText="1"/>
    </xf>
    <xf numFmtId="4" fontId="17" fillId="32" borderId="21" xfId="0" applyNumberFormat="1" applyFont="1" applyFill="1" applyBorder="1" applyAlignment="1">
      <alignment horizontal="center" vertical="center"/>
    </xf>
    <xf numFmtId="4" fontId="17" fillId="32" borderId="10" xfId="0" applyNumberFormat="1" applyFont="1" applyFill="1" applyBorder="1" applyAlignment="1">
      <alignment horizontal="center" vertical="center" wrapText="1"/>
    </xf>
    <xf numFmtId="4" fontId="19" fillId="32" borderId="19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top" wrapText="1"/>
    </xf>
    <xf numFmtId="3" fontId="17" fillId="32" borderId="19" xfId="0" applyNumberFormat="1" applyFont="1" applyFill="1" applyBorder="1" applyAlignment="1">
      <alignment horizontal="center" vertical="center" wrapText="1"/>
    </xf>
    <xf numFmtId="4" fontId="15" fillId="32" borderId="11" xfId="0" applyNumberFormat="1" applyFont="1" applyFill="1" applyBorder="1" applyAlignment="1">
      <alignment horizontal="center" vertical="center" wrapText="1"/>
    </xf>
    <xf numFmtId="4" fontId="15" fillId="32" borderId="13" xfId="0" applyNumberFormat="1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4" fontId="19" fillId="32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7" fillId="32" borderId="14" xfId="0" applyFont="1" applyFill="1" applyBorder="1" applyAlignment="1">
      <alignment horizontal="center" vertical="center" wrapText="1"/>
    </xf>
    <xf numFmtId="3" fontId="17" fillId="32" borderId="18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75" fillId="32" borderId="19" xfId="0" applyFont="1" applyFill="1" applyBorder="1" applyAlignment="1">
      <alignment horizontal="left" vertical="center" wrapText="1"/>
    </xf>
    <xf numFmtId="0" fontId="75" fillId="32" borderId="19" xfId="0" applyFont="1" applyFill="1" applyBorder="1" applyAlignment="1">
      <alignment horizontal="center" vertical="center" wrapText="1"/>
    </xf>
    <xf numFmtId="0" fontId="75" fillId="32" borderId="14" xfId="0" applyFont="1" applyFill="1" applyBorder="1" applyAlignment="1">
      <alignment horizontal="center" vertical="center" wrapText="1"/>
    </xf>
    <xf numFmtId="2" fontId="75" fillId="32" borderId="18" xfId="0" applyNumberFormat="1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left" vertical="center" wrapText="1"/>
    </xf>
    <xf numFmtId="4" fontId="19" fillId="33" borderId="13" xfId="0" applyNumberFormat="1" applyFont="1" applyFill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4" fontId="15" fillId="32" borderId="11" xfId="60" applyNumberFormat="1" applyFont="1" applyFill="1" applyBorder="1" applyAlignment="1">
      <alignment horizontal="center" vertical="center" wrapText="1"/>
    </xf>
    <xf numFmtId="4" fontId="15" fillId="32" borderId="11" xfId="60" applyNumberFormat="1" applyFont="1" applyFill="1" applyBorder="1" applyAlignment="1">
      <alignment horizontal="center" vertical="center"/>
    </xf>
    <xf numFmtId="4" fontId="19" fillId="32" borderId="20" xfId="6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4" fontId="23" fillId="0" borderId="0" xfId="0" applyNumberFormat="1" applyFont="1" applyAlignment="1">
      <alignment wrapText="1"/>
    </xf>
    <xf numFmtId="4" fontId="22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49" fontId="23" fillId="0" borderId="0" xfId="0" applyNumberFormat="1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10" fillId="32" borderId="12" xfId="0" applyNumberFormat="1" applyFont="1" applyFill="1" applyBorder="1" applyAlignment="1">
      <alignment vertical="center" wrapText="1"/>
    </xf>
    <xf numFmtId="4" fontId="10" fillId="32" borderId="0" xfId="0" applyNumberFormat="1" applyFont="1" applyFill="1" applyBorder="1" applyAlignment="1">
      <alignment vertical="center" wrapText="1"/>
    </xf>
    <xf numFmtId="4" fontId="10" fillId="32" borderId="14" xfId="0" applyNumberFormat="1" applyFont="1" applyFill="1" applyBorder="1" applyAlignment="1">
      <alignment vertical="center" wrapText="1"/>
    </xf>
    <xf numFmtId="4" fontId="10" fillId="32" borderId="12" xfId="0" applyNumberFormat="1" applyFont="1" applyFill="1" applyBorder="1" applyAlignment="1">
      <alignment vertical="top" wrapText="1"/>
    </xf>
    <xf numFmtId="4" fontId="10" fillId="32" borderId="0" xfId="0" applyNumberFormat="1" applyFont="1" applyFill="1" applyBorder="1" applyAlignment="1">
      <alignment vertical="top" wrapText="1"/>
    </xf>
    <xf numFmtId="4" fontId="10" fillId="32" borderId="14" xfId="0" applyNumberFormat="1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top" wrapText="1"/>
    </xf>
    <xf numFmtId="0" fontId="9" fillId="32" borderId="15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3" fontId="9" fillId="32" borderId="16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32" borderId="0" xfId="0" applyFont="1" applyFill="1" applyAlignment="1">
      <alignment horizontal="center" vertical="top" wrapText="1"/>
    </xf>
    <xf numFmtId="0" fontId="9" fillId="0" borderId="0" xfId="0" applyFont="1" applyAlignment="1">
      <alignment vertical="center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vertical="center" wrapText="1"/>
    </xf>
    <xf numFmtId="4" fontId="3" fillId="32" borderId="11" xfId="6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1" fontId="9" fillId="32" borderId="18" xfId="0" applyNumberFormat="1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4" fontId="3" fillId="32" borderId="10" xfId="60" applyNumberFormat="1" applyFont="1" applyFill="1" applyBorder="1" applyAlignment="1">
      <alignment horizontal="center" vertical="center" wrapText="1"/>
    </xf>
    <xf numFmtId="4" fontId="4" fillId="32" borderId="15" xfId="0" applyNumberFormat="1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76" fontId="10" fillId="32" borderId="10" xfId="0" applyNumberFormat="1" applyFont="1" applyFill="1" applyBorder="1" applyAlignment="1">
      <alignment horizontal="center" vertical="center" wrapText="1"/>
    </xf>
    <xf numFmtId="4" fontId="3" fillId="32" borderId="13" xfId="6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" fontId="4" fillId="32" borderId="11" xfId="0" applyNumberFormat="1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 wrapText="1"/>
    </xf>
    <xf numFmtId="4" fontId="9" fillId="32" borderId="13" xfId="0" applyNumberFormat="1" applyFont="1" applyFill="1" applyBorder="1" applyAlignment="1">
      <alignment horizontal="center" vertical="center" wrapText="1"/>
    </xf>
    <xf numFmtId="4" fontId="9" fillId="32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3" fontId="9" fillId="32" borderId="11" xfId="0" applyNumberFormat="1" applyFont="1" applyFill="1" applyBorder="1" applyAlignment="1">
      <alignment horizontal="center" vertical="center" wrapText="1"/>
    </xf>
    <xf numFmtId="3" fontId="9" fillId="32" borderId="13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3" fontId="9" fillId="32" borderId="10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/>
    </xf>
    <xf numFmtId="4" fontId="9" fillId="32" borderId="11" xfId="0" applyNumberFormat="1" applyFont="1" applyFill="1" applyBorder="1" applyAlignment="1">
      <alignment horizontal="center" vertical="center" wrapText="1"/>
    </xf>
    <xf numFmtId="4" fontId="9" fillId="32" borderId="13" xfId="0" applyNumberFormat="1" applyFont="1" applyFill="1" applyBorder="1" applyAlignment="1">
      <alignment horizontal="center" vertical="center" wrapText="1"/>
    </xf>
    <xf numFmtId="4" fontId="9" fillId="32" borderId="19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18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6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4" fontId="3" fillId="32" borderId="11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" fontId="3" fillId="32" borderId="19" xfId="0" applyNumberFormat="1" applyFont="1" applyFill="1" applyBorder="1" applyAlignment="1">
      <alignment horizontal="center" vertical="center" wrapText="1"/>
    </xf>
    <xf numFmtId="4" fontId="3" fillId="32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3" fillId="32" borderId="11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" fontId="3" fillId="32" borderId="19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4" fontId="77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9" fillId="32" borderId="11" xfId="0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center" vertical="center" wrapText="1"/>
    </xf>
    <xf numFmtId="4" fontId="9" fillId="32" borderId="13" xfId="0" applyNumberFormat="1" applyFont="1" applyFill="1" applyBorder="1" applyAlignment="1">
      <alignment horizontal="center" vertical="center" wrapText="1"/>
    </xf>
    <xf numFmtId="4" fontId="9" fillId="32" borderId="19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" fontId="9" fillId="32" borderId="13" xfId="0" applyNumberFormat="1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left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/>
    </xf>
    <xf numFmtId="0" fontId="0" fillId="0" borderId="20" xfId="0" applyBorder="1" applyAlignment="1">
      <alignment horizontal="left" vertical="center"/>
    </xf>
    <xf numFmtId="49" fontId="8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" fontId="82" fillId="32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" fontId="3" fillId="32" borderId="19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6" fillId="0" borderId="2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left" vertical="center" wrapText="1"/>
    </xf>
    <xf numFmtId="0" fontId="9" fillId="32" borderId="19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83" fillId="0" borderId="2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1" fontId="9" fillId="32" borderId="2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left" vertical="center" wrapText="1"/>
    </xf>
    <xf numFmtId="0" fontId="10" fillId="32" borderId="20" xfId="0" applyFont="1" applyFill="1" applyBorder="1" applyAlignment="1">
      <alignment horizontal="left" vertical="center" wrapText="1"/>
    </xf>
    <xf numFmtId="0" fontId="0" fillId="32" borderId="17" xfId="0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center" wrapText="1"/>
    </xf>
    <xf numFmtId="0" fontId="10" fillId="32" borderId="13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left" vertical="center" wrapText="1"/>
    </xf>
    <xf numFmtId="3" fontId="9" fillId="32" borderId="20" xfId="0" applyNumberFormat="1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vertical="center" wrapText="1"/>
    </xf>
    <xf numFmtId="0" fontId="3" fillId="32" borderId="20" xfId="0" applyFont="1" applyFill="1" applyBorder="1" applyAlignment="1">
      <alignment horizontal="left" vertical="center" wrapText="1"/>
    </xf>
    <xf numFmtId="4" fontId="10" fillId="32" borderId="11" xfId="0" applyNumberFormat="1" applyFont="1" applyFill="1" applyBorder="1" applyAlignment="1">
      <alignment horizontal="left" wrapText="1"/>
    </xf>
    <xf numFmtId="4" fontId="10" fillId="32" borderId="13" xfId="0" applyNumberFormat="1" applyFont="1" applyFill="1" applyBorder="1" applyAlignment="1">
      <alignment horizontal="left" wrapText="1"/>
    </xf>
    <xf numFmtId="4" fontId="10" fillId="32" borderId="19" xfId="0" applyNumberFormat="1" applyFont="1" applyFill="1" applyBorder="1" applyAlignment="1">
      <alignment horizontal="left" wrapText="1"/>
    </xf>
    <xf numFmtId="4" fontId="10" fillId="32" borderId="11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32" borderId="19" xfId="0" applyNumberFormat="1" applyFont="1" applyFill="1" applyBorder="1" applyAlignment="1">
      <alignment horizontal="center" vertical="center" wrapText="1"/>
    </xf>
    <xf numFmtId="4" fontId="9" fillId="32" borderId="19" xfId="0" applyNumberFormat="1" applyFont="1" applyFill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4" fillId="32" borderId="19" xfId="0" applyNumberFormat="1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left" vertical="center" wrapText="1"/>
    </xf>
    <xf numFmtId="4" fontId="10" fillId="32" borderId="11" xfId="0" applyNumberFormat="1" applyFont="1" applyFill="1" applyBorder="1" applyAlignment="1">
      <alignment horizontal="left" vertical="center" wrapText="1"/>
    </xf>
    <xf numFmtId="4" fontId="10" fillId="32" borderId="13" xfId="0" applyNumberFormat="1" applyFont="1" applyFill="1" applyBorder="1" applyAlignment="1">
      <alignment horizontal="left" vertical="center" wrapText="1"/>
    </xf>
    <xf numFmtId="4" fontId="10" fillId="32" borderId="19" xfId="0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3" fillId="32" borderId="22" xfId="0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85" fillId="0" borderId="0" xfId="0" applyFont="1" applyAlignment="1">
      <alignment vertical="center" wrapText="1"/>
    </xf>
    <xf numFmtId="0" fontId="85" fillId="32" borderId="0" xfId="0" applyFont="1" applyFill="1" applyAlignment="1">
      <alignment vertical="top" wrapText="1"/>
    </xf>
    <xf numFmtId="0" fontId="86" fillId="0" borderId="0" xfId="0" applyFont="1" applyAlignment="1">
      <alignment/>
    </xf>
    <xf numFmtId="0" fontId="8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4" fontId="19" fillId="32" borderId="22" xfId="0" applyNumberFormat="1" applyFont="1" applyFill="1" applyBorder="1" applyAlignment="1">
      <alignment horizontal="center" vertical="top" wrapText="1"/>
    </xf>
    <xf numFmtId="4" fontId="19" fillId="32" borderId="12" xfId="0" applyNumberFormat="1" applyFont="1" applyFill="1" applyBorder="1" applyAlignment="1">
      <alignment horizontal="center" vertical="top" wrapText="1"/>
    </xf>
    <xf numFmtId="4" fontId="19" fillId="32" borderId="23" xfId="0" applyNumberFormat="1" applyFont="1" applyFill="1" applyBorder="1" applyAlignment="1">
      <alignment horizontal="center" vertical="top" wrapText="1"/>
    </xf>
    <xf numFmtId="4" fontId="19" fillId="32" borderId="20" xfId="0" applyNumberFormat="1" applyFont="1" applyFill="1" applyBorder="1" applyAlignment="1">
      <alignment horizontal="center" vertical="top" wrapText="1"/>
    </xf>
    <xf numFmtId="4" fontId="19" fillId="32" borderId="0" xfId="0" applyNumberFormat="1" applyFont="1" applyFill="1" applyBorder="1" applyAlignment="1">
      <alignment horizontal="center" vertical="top" wrapText="1"/>
    </xf>
    <xf numFmtId="4" fontId="19" fillId="32" borderId="24" xfId="0" applyNumberFormat="1" applyFont="1" applyFill="1" applyBorder="1" applyAlignment="1">
      <alignment horizontal="center" vertical="top" wrapText="1"/>
    </xf>
    <xf numFmtId="4" fontId="19" fillId="32" borderId="17" xfId="0" applyNumberFormat="1" applyFont="1" applyFill="1" applyBorder="1" applyAlignment="1">
      <alignment horizontal="center" vertical="top" wrapText="1"/>
    </xf>
    <xf numFmtId="4" fontId="19" fillId="32" borderId="14" xfId="0" applyNumberFormat="1" applyFont="1" applyFill="1" applyBorder="1" applyAlignment="1">
      <alignment horizontal="center" vertical="top" wrapText="1"/>
    </xf>
    <xf numFmtId="4" fontId="19" fillId="32" borderId="18" xfId="0" applyNumberFormat="1" applyFont="1" applyFill="1" applyBorder="1" applyAlignment="1">
      <alignment horizontal="center" vertical="top" wrapText="1"/>
    </xf>
    <xf numFmtId="3" fontId="17" fillId="32" borderId="11" xfId="0" applyNumberFormat="1" applyFont="1" applyFill="1" applyBorder="1" applyAlignment="1">
      <alignment horizontal="center" vertical="center" wrapText="1"/>
    </xf>
    <xf numFmtId="3" fontId="17" fillId="32" borderId="13" xfId="0" applyNumberFormat="1" applyFont="1" applyFill="1" applyBorder="1" applyAlignment="1">
      <alignment horizontal="center" vertical="center" wrapText="1"/>
    </xf>
    <xf numFmtId="3" fontId="17" fillId="32" borderId="19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top" wrapText="1"/>
    </xf>
    <xf numFmtId="0" fontId="17" fillId="32" borderId="19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4" fontId="15" fillId="33" borderId="13" xfId="0" applyNumberFormat="1" applyFont="1" applyFill="1" applyBorder="1" applyAlignment="1">
      <alignment horizontal="center" vertical="center" wrapText="1"/>
    </xf>
    <xf numFmtId="4" fontId="15" fillId="33" borderId="19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left" vertical="center" wrapText="1"/>
    </xf>
    <xf numFmtId="0" fontId="17" fillId="32" borderId="13" xfId="0" applyFont="1" applyFill="1" applyBorder="1" applyAlignment="1">
      <alignment horizontal="left" vertical="center" wrapText="1"/>
    </xf>
    <xf numFmtId="0" fontId="17" fillId="32" borderId="19" xfId="0" applyFont="1" applyFill="1" applyBorder="1" applyAlignment="1">
      <alignment horizontal="left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32" borderId="11" xfId="0" applyNumberFormat="1" applyFont="1" applyFill="1" applyBorder="1" applyAlignment="1">
      <alignment horizontal="center" vertical="center" wrapText="1"/>
    </xf>
    <xf numFmtId="4" fontId="15" fillId="32" borderId="13" xfId="0" applyNumberFormat="1" applyFont="1" applyFill="1" applyBorder="1" applyAlignment="1">
      <alignment horizontal="center" vertical="center" wrapText="1"/>
    </xf>
    <xf numFmtId="4" fontId="15" fillId="32" borderId="19" xfId="0" applyNumberFormat="1" applyFont="1" applyFill="1" applyBorder="1" applyAlignment="1">
      <alignment horizontal="center" vertical="center" wrapText="1"/>
    </xf>
    <xf numFmtId="4" fontId="20" fillId="32" borderId="11" xfId="0" applyNumberFormat="1" applyFont="1" applyFill="1" applyBorder="1" applyAlignment="1">
      <alignment horizontal="center" vertical="center" wrapText="1"/>
    </xf>
    <xf numFmtId="4" fontId="20" fillId="32" borderId="13" xfId="0" applyNumberFormat="1" applyFont="1" applyFill="1" applyBorder="1" applyAlignment="1">
      <alignment horizontal="center" vertical="center" wrapText="1"/>
    </xf>
    <xf numFmtId="4" fontId="20" fillId="32" borderId="19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32" borderId="11" xfId="0" applyNumberFormat="1" applyFont="1" applyFill="1" applyBorder="1" applyAlignment="1">
      <alignment horizontal="center" vertical="center" wrapText="1"/>
    </xf>
    <xf numFmtId="4" fontId="19" fillId="32" borderId="19" xfId="0" applyNumberFormat="1" applyFont="1" applyFill="1" applyBorder="1" applyAlignment="1">
      <alignment horizontal="center" vertical="center" wrapText="1"/>
    </xf>
    <xf numFmtId="0" fontId="75" fillId="32" borderId="11" xfId="0" applyFont="1" applyFill="1" applyBorder="1" applyAlignment="1">
      <alignment horizontal="left" vertical="center" wrapText="1"/>
    </xf>
    <xf numFmtId="0" fontId="75" fillId="32" borderId="13" xfId="0" applyFont="1" applyFill="1" applyBorder="1" applyAlignment="1">
      <alignment horizontal="left" vertical="center" wrapText="1"/>
    </xf>
    <xf numFmtId="0" fontId="75" fillId="32" borderId="11" xfId="0" applyFont="1" applyFill="1" applyBorder="1" applyAlignment="1">
      <alignment horizontal="center" vertical="center" wrapText="1"/>
    </xf>
    <xf numFmtId="0" fontId="75" fillId="32" borderId="13" xfId="0" applyFont="1" applyFill="1" applyBorder="1" applyAlignment="1">
      <alignment horizontal="center" vertical="center" wrapText="1"/>
    </xf>
    <xf numFmtId="4" fontId="20" fillId="32" borderId="23" xfId="0" applyNumberFormat="1" applyFont="1" applyFill="1" applyBorder="1" applyAlignment="1">
      <alignment horizontal="center" vertical="center" wrapText="1"/>
    </xf>
    <xf numFmtId="4" fontId="20" fillId="32" borderId="24" xfId="0" applyNumberFormat="1" applyFont="1" applyFill="1" applyBorder="1" applyAlignment="1">
      <alignment horizontal="center" vertical="center" wrapText="1"/>
    </xf>
    <xf numFmtId="4" fontId="20" fillId="32" borderId="18" xfId="0" applyNumberFormat="1" applyFont="1" applyFill="1" applyBorder="1" applyAlignment="1">
      <alignment horizontal="center" vertical="center" wrapText="1"/>
    </xf>
    <xf numFmtId="4" fontId="17" fillId="32" borderId="11" xfId="0" applyNumberFormat="1" applyFont="1" applyFill="1" applyBorder="1" applyAlignment="1">
      <alignment horizontal="center" vertical="center" wrapText="1"/>
    </xf>
    <xf numFmtId="4" fontId="17" fillId="32" borderId="19" xfId="0" applyNumberFormat="1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left" vertical="center" wrapText="1"/>
    </xf>
    <xf numFmtId="0" fontId="15" fillId="32" borderId="19" xfId="0" applyFont="1" applyFill="1" applyBorder="1" applyAlignment="1">
      <alignment horizontal="left" vertical="center" wrapText="1"/>
    </xf>
    <xf numFmtId="4" fontId="17" fillId="32" borderId="11" xfId="0" applyNumberFormat="1" applyFont="1" applyFill="1" applyBorder="1" applyAlignment="1">
      <alignment horizontal="left" vertical="center" wrapText="1"/>
    </xf>
    <xf numFmtId="4" fontId="17" fillId="32" borderId="19" xfId="0" applyNumberFormat="1" applyFont="1" applyFill="1" applyBorder="1" applyAlignment="1">
      <alignment horizontal="left" vertical="center" wrapText="1"/>
    </xf>
    <xf numFmtId="4" fontId="17" fillId="32" borderId="23" xfId="0" applyNumberFormat="1" applyFont="1" applyFill="1" applyBorder="1" applyAlignment="1">
      <alignment horizontal="center" vertical="center" wrapText="1"/>
    </xf>
    <xf numFmtId="4" fontId="17" fillId="32" borderId="18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" fontId="20" fillId="32" borderId="11" xfId="0" applyNumberFormat="1" applyFont="1" applyFill="1" applyBorder="1" applyAlignment="1">
      <alignment horizontal="left" vertical="center" wrapText="1"/>
    </xf>
    <xf numFmtId="4" fontId="20" fillId="32" borderId="13" xfId="0" applyNumberFormat="1" applyFont="1" applyFill="1" applyBorder="1" applyAlignment="1">
      <alignment horizontal="left" vertical="center" wrapText="1"/>
    </xf>
    <xf numFmtId="4" fontId="20" fillId="32" borderId="19" xfId="0" applyNumberFormat="1" applyFont="1" applyFill="1" applyBorder="1" applyAlignment="1">
      <alignment horizontal="left" vertical="center" wrapText="1"/>
    </xf>
    <xf numFmtId="49" fontId="20" fillId="32" borderId="23" xfId="0" applyNumberFormat="1" applyFont="1" applyFill="1" applyBorder="1" applyAlignment="1">
      <alignment horizontal="center" vertical="center" wrapText="1"/>
    </xf>
    <xf numFmtId="49" fontId="20" fillId="32" borderId="24" xfId="0" applyNumberFormat="1" applyFont="1" applyFill="1" applyBorder="1" applyAlignment="1">
      <alignment horizontal="center" vertical="center" wrapText="1"/>
    </xf>
    <xf numFmtId="49" fontId="20" fillId="32" borderId="18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left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49" fontId="18" fillId="0" borderId="16" xfId="0" applyNumberFormat="1" applyFont="1" applyBorder="1" applyAlignment="1">
      <alignment horizontal="center" vertical="top" wrapText="1"/>
    </xf>
    <xf numFmtId="0" fontId="87" fillId="0" borderId="0" xfId="0" applyFont="1" applyAlignment="1">
      <alignment horizontal="center" vertical="center" wrapText="1"/>
    </xf>
    <xf numFmtId="0" fontId="87" fillId="32" borderId="0" xfId="0" applyFont="1" applyFill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right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5"/>
  <sheetViews>
    <sheetView tabSelected="1" view="pageBreakPreview" zoomScale="75" zoomScaleNormal="56" zoomScaleSheetLayoutView="75" zoomScalePageLayoutView="60" workbookViewId="0" topLeftCell="A146">
      <selection activeCell="I172" sqref="F172:J172"/>
    </sheetView>
  </sheetViews>
  <sheetFormatPr defaultColWidth="9.140625" defaultRowHeight="15"/>
  <cols>
    <col min="1" max="1" width="9.421875" style="0" customWidth="1"/>
    <col min="2" max="2" width="61.28125" style="0" customWidth="1"/>
    <col min="3" max="3" width="20.8515625" style="0" customWidth="1"/>
    <col min="4" max="4" width="13.8515625" style="0" customWidth="1"/>
    <col min="5" max="5" width="13.7109375" style="0" customWidth="1"/>
    <col min="6" max="6" width="18.57421875" style="0" customWidth="1"/>
    <col min="7" max="8" width="0" style="0" hidden="1" customWidth="1"/>
    <col min="9" max="9" width="19.421875" style="0" customWidth="1"/>
    <col min="10" max="10" width="19.00390625" style="0" customWidth="1"/>
    <col min="11" max="11" width="18.7109375" style="0" customWidth="1"/>
    <col min="12" max="12" width="35.57421875" style="0" customWidth="1"/>
    <col min="13" max="13" width="16.7109375" style="0" customWidth="1"/>
    <col min="14" max="14" width="0" style="0" hidden="1" customWidth="1"/>
    <col min="15" max="15" width="1.1484375" style="0" hidden="1" customWidth="1"/>
    <col min="16" max="16" width="36.00390625" style="0" customWidth="1"/>
    <col min="17" max="17" width="30.00390625" style="0" customWidth="1"/>
    <col min="19" max="19" width="23.7109375" style="0" customWidth="1"/>
  </cols>
  <sheetData>
    <row r="1" spans="1:19" ht="34.5" customHeight="1">
      <c r="A1" s="103"/>
      <c r="B1" s="104"/>
      <c r="C1" s="104"/>
      <c r="D1" s="105"/>
      <c r="E1" s="106"/>
      <c r="F1" s="107"/>
      <c r="G1" s="108"/>
      <c r="H1" s="108"/>
      <c r="I1" s="109"/>
      <c r="J1" s="109"/>
      <c r="K1" s="109"/>
      <c r="L1" s="328" t="s">
        <v>228</v>
      </c>
      <c r="M1" s="245"/>
      <c r="N1" s="245"/>
      <c r="O1" s="245"/>
      <c r="P1" s="245"/>
      <c r="Q1" s="186"/>
      <c r="R1" s="186"/>
      <c r="S1" s="186"/>
    </row>
    <row r="2" spans="1:19" ht="21.75" customHeight="1">
      <c r="A2" s="103"/>
      <c r="B2" s="104"/>
      <c r="C2" s="104"/>
      <c r="D2" s="105"/>
      <c r="E2" s="106"/>
      <c r="F2" s="107"/>
      <c r="G2" s="108"/>
      <c r="H2" s="108"/>
      <c r="I2" s="109"/>
      <c r="J2" s="109"/>
      <c r="K2" s="109"/>
      <c r="L2" s="329" t="s">
        <v>227</v>
      </c>
      <c r="M2" s="330"/>
      <c r="N2" s="330"/>
      <c r="O2" s="330"/>
      <c r="P2" s="330"/>
      <c r="Q2" s="186"/>
      <c r="R2" s="186"/>
      <c r="S2" s="186"/>
    </row>
    <row r="3" spans="1:19" ht="27.75" customHeight="1">
      <c r="A3" s="103"/>
      <c r="B3" s="104"/>
      <c r="C3" s="104"/>
      <c r="D3" s="105"/>
      <c r="E3" s="106"/>
      <c r="F3" s="107"/>
      <c r="G3" s="108"/>
      <c r="H3" s="108"/>
      <c r="I3" s="109"/>
      <c r="J3" s="109"/>
      <c r="K3" s="109"/>
      <c r="L3" s="328" t="s">
        <v>225</v>
      </c>
      <c r="M3" s="245"/>
      <c r="N3" s="245"/>
      <c r="O3" s="245"/>
      <c r="P3" s="245"/>
      <c r="Q3" s="196"/>
      <c r="R3" s="196"/>
      <c r="S3" s="196"/>
    </row>
    <row r="4" spans="1:19" ht="27" customHeight="1">
      <c r="A4" s="103"/>
      <c r="B4" s="104"/>
      <c r="C4" s="104"/>
      <c r="D4" s="105"/>
      <c r="E4" s="106"/>
      <c r="F4" s="107"/>
      <c r="G4" s="108"/>
      <c r="H4" s="108"/>
      <c r="I4" s="109"/>
      <c r="J4" s="109"/>
      <c r="K4" s="109"/>
      <c r="L4" s="328" t="s">
        <v>226</v>
      </c>
      <c r="M4" s="245"/>
      <c r="N4" s="245"/>
      <c r="O4" s="245"/>
      <c r="P4" s="245"/>
      <c r="Q4" s="186"/>
      <c r="R4" s="186"/>
      <c r="S4" s="186"/>
    </row>
    <row r="5" spans="1:16" ht="18" customHeight="1">
      <c r="A5" s="103"/>
      <c r="B5" s="104"/>
      <c r="C5" s="104"/>
      <c r="D5" s="105"/>
      <c r="E5" s="106"/>
      <c r="F5" s="107"/>
      <c r="G5" s="108"/>
      <c r="H5" s="108"/>
      <c r="I5" s="109"/>
      <c r="J5" s="109"/>
      <c r="K5" s="109"/>
      <c r="L5" s="134"/>
      <c r="M5" s="134"/>
      <c r="N5" s="134"/>
      <c r="O5" s="134"/>
      <c r="P5" s="134"/>
    </row>
    <row r="6" spans="1:16" ht="18.75" customHeight="1" hidden="1">
      <c r="A6" s="110"/>
      <c r="B6" s="111"/>
      <c r="C6" s="111"/>
      <c r="D6" s="112"/>
      <c r="E6" s="113"/>
      <c r="F6" s="107"/>
      <c r="G6" s="114"/>
      <c r="H6" s="114"/>
      <c r="I6" s="115"/>
      <c r="J6" s="115"/>
      <c r="K6" s="115"/>
      <c r="L6" s="134"/>
      <c r="M6" s="134"/>
      <c r="N6" s="134"/>
      <c r="O6" s="134"/>
      <c r="P6" s="134"/>
    </row>
    <row r="7" spans="1:16" ht="15">
      <c r="A7" s="306" t="s">
        <v>121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</row>
    <row r="8" spans="1:16" ht="15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</row>
    <row r="9" spans="1:16" ht="12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</row>
    <row r="10" spans="1:16" ht="15.75" customHeight="1">
      <c r="A10" s="236" t="s">
        <v>8</v>
      </c>
      <c r="B10" s="310" t="s">
        <v>28</v>
      </c>
      <c r="C10" s="310" t="s">
        <v>117</v>
      </c>
      <c r="D10" s="236" t="s">
        <v>118</v>
      </c>
      <c r="E10" s="236" t="s">
        <v>138</v>
      </c>
      <c r="F10" s="313" t="s">
        <v>139</v>
      </c>
      <c r="G10" s="314"/>
      <c r="H10" s="314"/>
      <c r="I10" s="314"/>
      <c r="J10" s="314"/>
      <c r="K10" s="315"/>
      <c r="L10" s="298" t="s">
        <v>142</v>
      </c>
      <c r="M10" s="298" t="s">
        <v>33</v>
      </c>
      <c r="N10" s="1"/>
      <c r="O10" s="1"/>
      <c r="P10" s="298" t="s">
        <v>143</v>
      </c>
    </row>
    <row r="11" spans="1:16" ht="15.75" customHeight="1">
      <c r="A11" s="237"/>
      <c r="B11" s="311"/>
      <c r="C11" s="206"/>
      <c r="D11" s="237"/>
      <c r="E11" s="237"/>
      <c r="F11" s="316"/>
      <c r="G11" s="317"/>
      <c r="H11" s="317"/>
      <c r="I11" s="317"/>
      <c r="J11" s="317"/>
      <c r="K11" s="318"/>
      <c r="L11" s="299"/>
      <c r="M11" s="299"/>
      <c r="N11" s="1"/>
      <c r="O11" s="1"/>
      <c r="P11" s="299"/>
    </row>
    <row r="12" spans="1:16" ht="78.75">
      <c r="A12" s="309"/>
      <c r="B12" s="312"/>
      <c r="C12" s="207"/>
      <c r="D12" s="309"/>
      <c r="E12" s="309"/>
      <c r="F12" s="2" t="s">
        <v>140</v>
      </c>
      <c r="G12" s="2" t="s">
        <v>29</v>
      </c>
      <c r="H12" s="2" t="s">
        <v>30</v>
      </c>
      <c r="I12" s="4" t="s">
        <v>6</v>
      </c>
      <c r="J12" s="4" t="s">
        <v>141</v>
      </c>
      <c r="K12" s="4" t="s">
        <v>124</v>
      </c>
      <c r="L12" s="299"/>
      <c r="M12" s="299"/>
      <c r="N12" s="1">
        <v>2014</v>
      </c>
      <c r="O12" s="1">
        <v>2015</v>
      </c>
      <c r="P12" s="299"/>
    </row>
    <row r="13" spans="1:16" ht="36">
      <c r="A13" s="116" t="s">
        <v>15</v>
      </c>
      <c r="B13" s="116" t="s">
        <v>9</v>
      </c>
      <c r="C13" s="116" t="s">
        <v>10</v>
      </c>
      <c r="D13" s="116" t="s">
        <v>11</v>
      </c>
      <c r="E13" s="116" t="s">
        <v>16</v>
      </c>
      <c r="F13" s="116" t="s">
        <v>17</v>
      </c>
      <c r="G13" s="116" t="s">
        <v>16</v>
      </c>
      <c r="H13" s="116" t="s">
        <v>17</v>
      </c>
      <c r="I13" s="117" t="s">
        <v>18</v>
      </c>
      <c r="J13" s="117" t="s">
        <v>19</v>
      </c>
      <c r="K13" s="117" t="s">
        <v>22</v>
      </c>
      <c r="L13" s="116" t="s">
        <v>23</v>
      </c>
      <c r="M13" s="116" t="s">
        <v>24</v>
      </c>
      <c r="N13" s="116" t="s">
        <v>23</v>
      </c>
      <c r="O13" s="116" t="s">
        <v>24</v>
      </c>
      <c r="P13" s="116" t="s">
        <v>25</v>
      </c>
    </row>
    <row r="14" spans="1:16" ht="19.5" customHeight="1">
      <c r="A14" s="300" t="s">
        <v>230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</row>
    <row r="15" spans="1:16" ht="21" customHeight="1">
      <c r="A15" s="300" t="s">
        <v>35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</row>
    <row r="16" spans="1:16" ht="19.5" customHeight="1">
      <c r="A16" s="276" t="s">
        <v>0</v>
      </c>
      <c r="B16" s="278" t="s">
        <v>82</v>
      </c>
      <c r="C16" s="277" t="s">
        <v>44</v>
      </c>
      <c r="D16" s="277" t="s">
        <v>122</v>
      </c>
      <c r="E16" s="150">
        <v>2021</v>
      </c>
      <c r="F16" s="3">
        <f>I16+J16+K16</f>
        <v>444909669.03</v>
      </c>
      <c r="G16" s="3" t="e">
        <f>SUM(G17:G19)</f>
        <v>#REF!</v>
      </c>
      <c r="H16" s="3" t="e">
        <f>SUM(H17:H19)</f>
        <v>#REF!</v>
      </c>
      <c r="I16" s="3">
        <f>I20+I28+I32+I36+I44+I48+I52+I60+I24+I56</f>
        <v>134204237.03</v>
      </c>
      <c r="J16" s="3">
        <f>J20+J28+J32+J36+J44+J48+J52+J60+J24+J40</f>
        <v>310705432</v>
      </c>
      <c r="K16" s="3">
        <f aca="true" t="shared" si="0" ref="J16:K19">K20+K28+K32+K36+K44+K48+K52+K60+K24+K40</f>
        <v>0</v>
      </c>
      <c r="L16" s="303" t="s">
        <v>113</v>
      </c>
      <c r="M16" s="293" t="s">
        <v>40</v>
      </c>
      <c r="N16" s="119">
        <f>N20</f>
        <v>0</v>
      </c>
      <c r="O16" s="119">
        <f>O20</f>
        <v>0</v>
      </c>
      <c r="P16" s="153">
        <v>1835.5</v>
      </c>
    </row>
    <row r="17" spans="1:16" ht="18" customHeight="1">
      <c r="A17" s="277"/>
      <c r="B17" s="279"/>
      <c r="C17" s="277"/>
      <c r="D17" s="277"/>
      <c r="E17" s="150">
        <v>2022</v>
      </c>
      <c r="F17" s="3">
        <f>I17+J17+K17</f>
        <v>459815458.9</v>
      </c>
      <c r="G17" s="118" t="e">
        <f>#REF!+#REF!+#REF!+#REF!</f>
        <v>#REF!</v>
      </c>
      <c r="H17" s="118" t="e">
        <f>#REF!+#REF!+#REF!+#REF!</f>
        <v>#REF!</v>
      </c>
      <c r="I17" s="3">
        <f>I21+I29+I33+I37+I45+I49+I53+I61+I25+I57</f>
        <v>165610558.89999998</v>
      </c>
      <c r="J17" s="3">
        <f t="shared" si="0"/>
        <v>294204900</v>
      </c>
      <c r="K17" s="3">
        <f t="shared" si="0"/>
        <v>0</v>
      </c>
      <c r="L17" s="304"/>
      <c r="M17" s="294"/>
      <c r="N17" s="120">
        <f>N23</f>
        <v>0</v>
      </c>
      <c r="O17" s="120">
        <f>O23</f>
        <v>0</v>
      </c>
      <c r="P17" s="153">
        <v>1835.5</v>
      </c>
    </row>
    <row r="18" spans="1:16" ht="18" customHeight="1">
      <c r="A18" s="277"/>
      <c r="B18" s="279"/>
      <c r="C18" s="277"/>
      <c r="D18" s="277"/>
      <c r="E18" s="150">
        <v>2023</v>
      </c>
      <c r="F18" s="3">
        <f>I18+J18+K18</f>
        <v>464172106.62</v>
      </c>
      <c r="G18" s="118"/>
      <c r="H18" s="118"/>
      <c r="I18" s="3">
        <f>I22+I30+I34+I38+I46+I50+I54+I62+I26+I58</f>
        <v>165366806.61999997</v>
      </c>
      <c r="J18" s="3">
        <f t="shared" si="0"/>
        <v>298805300</v>
      </c>
      <c r="K18" s="3">
        <f t="shared" si="0"/>
        <v>0</v>
      </c>
      <c r="L18" s="304"/>
      <c r="M18" s="294"/>
      <c r="N18" s="120"/>
      <c r="O18" s="120"/>
      <c r="P18" s="153">
        <v>1835.5</v>
      </c>
    </row>
    <row r="19" spans="1:16" ht="20.25" customHeight="1">
      <c r="A19" s="301"/>
      <c r="B19" s="302"/>
      <c r="C19" s="301"/>
      <c r="D19" s="301"/>
      <c r="E19" s="150">
        <v>2024</v>
      </c>
      <c r="F19" s="3">
        <f>I19+J19+K19</f>
        <v>472911362.78</v>
      </c>
      <c r="G19" s="3" t="e">
        <f>#REF!+#REF!+#REF!</f>
        <v>#REF!</v>
      </c>
      <c r="H19" s="3" t="e">
        <f>#REF!+#REF!+#REF!</f>
        <v>#REF!</v>
      </c>
      <c r="I19" s="3">
        <f>I23+I31+I35+I39+I47+I51+I55+I63+I27+I59</f>
        <v>167432262.78</v>
      </c>
      <c r="J19" s="3">
        <f t="shared" si="0"/>
        <v>305479100</v>
      </c>
      <c r="K19" s="3">
        <f t="shared" si="0"/>
        <v>0</v>
      </c>
      <c r="L19" s="305"/>
      <c r="M19" s="295"/>
      <c r="N19" s="121">
        <f>N36</f>
        <v>0</v>
      </c>
      <c r="O19" s="121">
        <f>O36</f>
        <v>0</v>
      </c>
      <c r="P19" s="153">
        <v>1835.5</v>
      </c>
    </row>
    <row r="20" spans="1:17" ht="27.75" customHeight="1">
      <c r="A20" s="205" t="s">
        <v>46</v>
      </c>
      <c r="B20" s="208" t="s">
        <v>12</v>
      </c>
      <c r="C20" s="205" t="s">
        <v>44</v>
      </c>
      <c r="D20" s="205" t="s">
        <v>122</v>
      </c>
      <c r="E20" s="151">
        <v>2021</v>
      </c>
      <c r="F20" s="172">
        <f aca="true" t="shared" si="1" ref="F20:F76">I20+J20+K20</f>
        <v>91795521.21</v>
      </c>
      <c r="G20" s="172"/>
      <c r="H20" s="172"/>
      <c r="I20" s="146">
        <v>91795521.21</v>
      </c>
      <c r="J20" s="146">
        <v>0</v>
      </c>
      <c r="K20" s="146">
        <v>0</v>
      </c>
      <c r="L20" s="217" t="s">
        <v>119</v>
      </c>
      <c r="M20" s="220" t="s">
        <v>36</v>
      </c>
      <c r="N20" s="220"/>
      <c r="O20" s="220"/>
      <c r="P20" s="173">
        <v>100</v>
      </c>
      <c r="Q20" s="167"/>
    </row>
    <row r="21" spans="1:17" ht="26.25" customHeight="1">
      <c r="A21" s="223"/>
      <c r="B21" s="225"/>
      <c r="C21" s="223"/>
      <c r="D21" s="223"/>
      <c r="E21" s="152">
        <v>2022</v>
      </c>
      <c r="F21" s="172">
        <f t="shared" si="1"/>
        <v>163138961.59999996</v>
      </c>
      <c r="G21" s="197"/>
      <c r="H21" s="197"/>
      <c r="I21" s="146">
        <f>61245097.05+15526800+18164834.66+4689093.6+23766438.48+9177328.3+14923003+7181450.79+1552680+2133253.14+468909.36+2133178.57+974838.03+1878829-676772.38</f>
        <v>163138961.59999996</v>
      </c>
      <c r="J21" s="139">
        <v>0</v>
      </c>
      <c r="K21" s="139">
        <v>0</v>
      </c>
      <c r="L21" s="224"/>
      <c r="M21" s="221"/>
      <c r="N21" s="221"/>
      <c r="O21" s="221"/>
      <c r="P21" s="173">
        <v>100</v>
      </c>
      <c r="Q21" s="167">
        <v>23000</v>
      </c>
    </row>
    <row r="22" spans="1:17" ht="30.75" customHeight="1">
      <c r="A22" s="223"/>
      <c r="B22" s="225"/>
      <c r="C22" s="223"/>
      <c r="D22" s="223"/>
      <c r="E22" s="152">
        <v>2023</v>
      </c>
      <c r="F22" s="172">
        <f t="shared" si="1"/>
        <v>165366806.61999997</v>
      </c>
      <c r="G22" s="197"/>
      <c r="H22" s="197"/>
      <c r="I22" s="146">
        <f>61245097.09+16609800+18164834.66+5016159.6+23766438.48+9177328.3+14923003+7181450.79+1660980+2133253.14+501615.96+2133178.57+974838.03+1878829</f>
        <v>165366806.61999997</v>
      </c>
      <c r="J22" s="139">
        <v>0</v>
      </c>
      <c r="K22" s="139">
        <v>0</v>
      </c>
      <c r="L22" s="224"/>
      <c r="M22" s="221"/>
      <c r="N22" s="221"/>
      <c r="O22" s="221"/>
      <c r="P22" s="173">
        <v>100</v>
      </c>
      <c r="Q22" s="167"/>
    </row>
    <row r="23" spans="1:17" ht="26.25" customHeight="1">
      <c r="A23" s="223"/>
      <c r="B23" s="225"/>
      <c r="C23" s="223"/>
      <c r="D23" s="223"/>
      <c r="E23" s="152">
        <v>2024</v>
      </c>
      <c r="F23" s="197">
        <f t="shared" si="1"/>
        <v>167432262.78</v>
      </c>
      <c r="G23" s="197"/>
      <c r="H23" s="197"/>
      <c r="I23" s="146">
        <f>61500540.79+17772600+18278767.97+5367325.2+23766438.48+9177328.3+14923003+7205042.95+1777260+2140377.97+536732.52+2133178.57+974838.03+1878829</f>
        <v>167432262.78</v>
      </c>
      <c r="J23" s="139">
        <v>0</v>
      </c>
      <c r="K23" s="139">
        <v>0</v>
      </c>
      <c r="L23" s="224"/>
      <c r="M23" s="221"/>
      <c r="N23" s="221"/>
      <c r="O23" s="221"/>
      <c r="P23" s="173">
        <v>100</v>
      </c>
      <c r="Q23" s="167"/>
    </row>
    <row r="24" spans="1:17" ht="27" customHeight="1">
      <c r="A24" s="205" t="s">
        <v>47</v>
      </c>
      <c r="B24" s="208" t="s">
        <v>231</v>
      </c>
      <c r="C24" s="205" t="s">
        <v>44</v>
      </c>
      <c r="D24" s="205" t="s">
        <v>122</v>
      </c>
      <c r="E24" s="151">
        <v>2021</v>
      </c>
      <c r="F24" s="172">
        <f>I24+J24+K24</f>
        <v>276557000</v>
      </c>
      <c r="G24" s="172"/>
      <c r="H24" s="172"/>
      <c r="I24" s="146">
        <v>0</v>
      </c>
      <c r="J24" s="146">
        <v>276557000</v>
      </c>
      <c r="K24" s="146">
        <v>0</v>
      </c>
      <c r="L24" s="217" t="s">
        <v>186</v>
      </c>
      <c r="M24" s="220" t="s">
        <v>40</v>
      </c>
      <c r="N24" s="220"/>
      <c r="O24" s="220"/>
      <c r="P24" s="173">
        <v>1835.5</v>
      </c>
      <c r="Q24" s="167"/>
    </row>
    <row r="25" spans="1:17" ht="24.75" customHeight="1">
      <c r="A25" s="223"/>
      <c r="B25" s="225"/>
      <c r="C25" s="223"/>
      <c r="D25" s="223"/>
      <c r="E25" s="152">
        <v>2022</v>
      </c>
      <c r="F25" s="172">
        <f>I25+J25+K25</f>
        <v>282093400</v>
      </c>
      <c r="G25" s="197"/>
      <c r="H25" s="197"/>
      <c r="I25" s="146">
        <v>0</v>
      </c>
      <c r="J25" s="139">
        <f>46237360+145116688+13963683+43825240+3817989.7+5439689+16539365+1642787+4994888+515710.3</f>
        <v>282093400</v>
      </c>
      <c r="K25" s="139">
        <v>0</v>
      </c>
      <c r="L25" s="224"/>
      <c r="M25" s="221"/>
      <c r="N25" s="221"/>
      <c r="O25" s="221"/>
      <c r="P25" s="173">
        <v>1835.5</v>
      </c>
      <c r="Q25" s="167"/>
    </row>
    <row r="26" spans="1:17" ht="26.25" customHeight="1">
      <c r="A26" s="223"/>
      <c r="B26" s="225"/>
      <c r="C26" s="223"/>
      <c r="D26" s="223"/>
      <c r="E26" s="152">
        <v>2023</v>
      </c>
      <c r="F26" s="172">
        <f>I26+J26+K26</f>
        <v>286693800</v>
      </c>
      <c r="G26" s="197"/>
      <c r="H26" s="197"/>
      <c r="I26" s="146">
        <v>0</v>
      </c>
      <c r="J26" s="139">
        <f>47003168+147520186+14194956+44551097+3817989.7+5529784+16813298+1669995+5077616+515710.3</f>
        <v>286693800</v>
      </c>
      <c r="K26" s="139">
        <v>0</v>
      </c>
      <c r="L26" s="224"/>
      <c r="M26" s="221"/>
      <c r="N26" s="221"/>
      <c r="O26" s="221"/>
      <c r="P26" s="173">
        <v>1835.5</v>
      </c>
      <c r="Q26" s="167">
        <v>75310</v>
      </c>
    </row>
    <row r="27" spans="1:17" ht="23.25" customHeight="1">
      <c r="A27" s="223"/>
      <c r="B27" s="225"/>
      <c r="C27" s="223"/>
      <c r="D27" s="223"/>
      <c r="E27" s="152">
        <v>2024</v>
      </c>
      <c r="F27" s="197">
        <f>I27+J27+K27</f>
        <v>293367600</v>
      </c>
      <c r="G27" s="197"/>
      <c r="H27" s="197"/>
      <c r="I27" s="139">
        <v>0</v>
      </c>
      <c r="J27" s="139">
        <f>48114122+151006940+14530465+45604097+3817989.7+5660485+17210694+1709467+5197630+515710.3</f>
        <v>293367600</v>
      </c>
      <c r="K27" s="139">
        <v>0</v>
      </c>
      <c r="L27" s="224"/>
      <c r="M27" s="221"/>
      <c r="N27" s="221"/>
      <c r="O27" s="221"/>
      <c r="P27" s="173">
        <v>1835.5</v>
      </c>
      <c r="Q27" s="167"/>
    </row>
    <row r="28" spans="1:17" ht="26.25" customHeight="1">
      <c r="A28" s="205" t="s">
        <v>48</v>
      </c>
      <c r="B28" s="208" t="s">
        <v>232</v>
      </c>
      <c r="C28" s="205" t="s">
        <v>44</v>
      </c>
      <c r="D28" s="205" t="s">
        <v>122</v>
      </c>
      <c r="E28" s="151">
        <v>2021</v>
      </c>
      <c r="F28" s="172">
        <f t="shared" si="1"/>
        <v>295400</v>
      </c>
      <c r="G28" s="172"/>
      <c r="H28" s="172"/>
      <c r="I28" s="146">
        <v>0</v>
      </c>
      <c r="J28" s="146">
        <v>295400</v>
      </c>
      <c r="K28" s="146">
        <v>0</v>
      </c>
      <c r="L28" s="217" t="s">
        <v>164</v>
      </c>
      <c r="M28" s="220" t="s">
        <v>40</v>
      </c>
      <c r="N28" s="148"/>
      <c r="O28" s="148"/>
      <c r="P28" s="173">
        <v>1700</v>
      </c>
      <c r="Q28" s="297" t="s">
        <v>174</v>
      </c>
    </row>
    <row r="29" spans="1:17" ht="28.5" customHeight="1">
      <c r="A29" s="206"/>
      <c r="B29" s="213"/>
      <c r="C29" s="206"/>
      <c r="D29" s="206"/>
      <c r="E29" s="151">
        <v>2022</v>
      </c>
      <c r="F29" s="172">
        <f t="shared" si="1"/>
        <v>295400</v>
      </c>
      <c r="G29" s="172"/>
      <c r="H29" s="172"/>
      <c r="I29" s="146">
        <v>0</v>
      </c>
      <c r="J29" s="146">
        <v>295400</v>
      </c>
      <c r="K29" s="146">
        <v>0</v>
      </c>
      <c r="L29" s="213"/>
      <c r="M29" s="206"/>
      <c r="N29" s="148"/>
      <c r="O29" s="148"/>
      <c r="P29" s="173">
        <v>1700</v>
      </c>
      <c r="Q29" s="231"/>
    </row>
    <row r="30" spans="1:17" ht="27.75" customHeight="1">
      <c r="A30" s="206"/>
      <c r="B30" s="213"/>
      <c r="C30" s="206"/>
      <c r="D30" s="206"/>
      <c r="E30" s="151">
        <v>2023</v>
      </c>
      <c r="F30" s="172">
        <f t="shared" si="1"/>
        <v>295400</v>
      </c>
      <c r="G30" s="172"/>
      <c r="H30" s="172"/>
      <c r="I30" s="146">
        <v>0</v>
      </c>
      <c r="J30" s="146">
        <v>295400</v>
      </c>
      <c r="K30" s="146">
        <v>0</v>
      </c>
      <c r="L30" s="213"/>
      <c r="M30" s="206"/>
      <c r="N30" s="148"/>
      <c r="O30" s="148"/>
      <c r="P30" s="173">
        <v>1700</v>
      </c>
      <c r="Q30" s="231"/>
    </row>
    <row r="31" spans="1:17" ht="24.75" customHeight="1">
      <c r="A31" s="207"/>
      <c r="B31" s="214"/>
      <c r="C31" s="207"/>
      <c r="D31" s="207"/>
      <c r="E31" s="151" t="s">
        <v>233</v>
      </c>
      <c r="F31" s="172">
        <f t="shared" si="1"/>
        <v>295400</v>
      </c>
      <c r="G31" s="172"/>
      <c r="H31" s="172"/>
      <c r="I31" s="146">
        <v>0</v>
      </c>
      <c r="J31" s="146">
        <v>295400</v>
      </c>
      <c r="K31" s="146">
        <v>0</v>
      </c>
      <c r="L31" s="214"/>
      <c r="M31" s="207"/>
      <c r="N31" s="148"/>
      <c r="O31" s="148"/>
      <c r="P31" s="173">
        <v>1700</v>
      </c>
      <c r="Q31" s="231"/>
    </row>
    <row r="32" spans="1:17" ht="30" customHeight="1">
      <c r="A32" s="205" t="s">
        <v>126</v>
      </c>
      <c r="B32" s="208" t="s">
        <v>234</v>
      </c>
      <c r="C32" s="205" t="s">
        <v>44</v>
      </c>
      <c r="D32" s="205" t="s">
        <v>122</v>
      </c>
      <c r="E32" s="151">
        <v>2021</v>
      </c>
      <c r="F32" s="172">
        <f t="shared" si="1"/>
        <v>11816100</v>
      </c>
      <c r="G32" s="172"/>
      <c r="H32" s="172"/>
      <c r="I32" s="146">
        <v>0</v>
      </c>
      <c r="J32" s="146">
        <v>11816100</v>
      </c>
      <c r="K32" s="146">
        <v>0</v>
      </c>
      <c r="L32" s="217" t="s">
        <v>128</v>
      </c>
      <c r="M32" s="220" t="s">
        <v>36</v>
      </c>
      <c r="N32" s="148"/>
      <c r="O32" s="148"/>
      <c r="P32" s="173">
        <v>100</v>
      </c>
      <c r="Q32" s="243" t="s">
        <v>136</v>
      </c>
    </row>
    <row r="33" spans="1:17" ht="29.25" customHeight="1">
      <c r="A33" s="206"/>
      <c r="B33" s="213"/>
      <c r="C33" s="206"/>
      <c r="D33" s="206"/>
      <c r="E33" s="151">
        <v>2022</v>
      </c>
      <c r="F33" s="172">
        <f t="shared" si="1"/>
        <v>11816100</v>
      </c>
      <c r="G33" s="198"/>
      <c r="H33" s="198"/>
      <c r="I33" s="154">
        <v>0</v>
      </c>
      <c r="J33" s="146">
        <v>11816100</v>
      </c>
      <c r="K33" s="154">
        <v>0</v>
      </c>
      <c r="L33" s="213"/>
      <c r="M33" s="206"/>
      <c r="N33" s="165"/>
      <c r="O33" s="165"/>
      <c r="P33" s="171">
        <v>100</v>
      </c>
      <c r="Q33" s="231"/>
    </row>
    <row r="34" spans="1:17" ht="28.5" customHeight="1">
      <c r="A34" s="206"/>
      <c r="B34" s="213"/>
      <c r="C34" s="206"/>
      <c r="D34" s="206"/>
      <c r="E34" s="151">
        <v>2023</v>
      </c>
      <c r="F34" s="172">
        <f t="shared" si="1"/>
        <v>11816100</v>
      </c>
      <c r="G34" s="197"/>
      <c r="H34" s="197"/>
      <c r="I34" s="139">
        <v>0</v>
      </c>
      <c r="J34" s="146">
        <v>11816100</v>
      </c>
      <c r="K34" s="139">
        <v>0</v>
      </c>
      <c r="L34" s="213"/>
      <c r="M34" s="206"/>
      <c r="N34" s="161"/>
      <c r="O34" s="161"/>
      <c r="P34" s="170">
        <v>100</v>
      </c>
      <c r="Q34" s="231"/>
    </row>
    <row r="35" spans="1:17" ht="21.75" customHeight="1">
      <c r="A35" s="207"/>
      <c r="B35" s="214"/>
      <c r="C35" s="207"/>
      <c r="D35" s="207"/>
      <c r="E35" s="151">
        <v>2024</v>
      </c>
      <c r="F35" s="172">
        <f t="shared" si="1"/>
        <v>11816100</v>
      </c>
      <c r="G35" s="197"/>
      <c r="H35" s="197"/>
      <c r="I35" s="139">
        <v>0</v>
      </c>
      <c r="J35" s="146">
        <v>11816100</v>
      </c>
      <c r="K35" s="139">
        <v>0</v>
      </c>
      <c r="L35" s="214"/>
      <c r="M35" s="207"/>
      <c r="N35" s="161"/>
      <c r="O35" s="161"/>
      <c r="P35" s="170">
        <v>100</v>
      </c>
      <c r="Q35" s="231"/>
    </row>
    <row r="36" spans="1:17" ht="27" customHeight="1">
      <c r="A36" s="205" t="s">
        <v>127</v>
      </c>
      <c r="B36" s="208" t="s">
        <v>235</v>
      </c>
      <c r="C36" s="205" t="s">
        <v>44</v>
      </c>
      <c r="D36" s="205" t="s">
        <v>122</v>
      </c>
      <c r="E36" s="151">
        <v>2021</v>
      </c>
      <c r="F36" s="172">
        <f t="shared" si="1"/>
        <v>33747215</v>
      </c>
      <c r="G36" s="197"/>
      <c r="H36" s="197"/>
      <c r="I36" s="197">
        <f>13333099-1622816</f>
        <v>11710283</v>
      </c>
      <c r="J36" s="197">
        <v>22036932</v>
      </c>
      <c r="K36" s="197">
        <v>0</v>
      </c>
      <c r="L36" s="217" t="s">
        <v>179</v>
      </c>
      <c r="M36" s="220" t="s">
        <v>87</v>
      </c>
      <c r="N36" s="220"/>
      <c r="O36" s="220"/>
      <c r="P36" s="173">
        <v>0</v>
      </c>
      <c r="Q36" s="231" t="s">
        <v>242</v>
      </c>
    </row>
    <row r="37" spans="1:17" ht="25.5" customHeight="1">
      <c r="A37" s="223"/>
      <c r="B37" s="225"/>
      <c r="C37" s="206"/>
      <c r="D37" s="206"/>
      <c r="E37" s="151">
        <v>2022</v>
      </c>
      <c r="F37" s="172">
        <f t="shared" si="1"/>
        <v>0</v>
      </c>
      <c r="G37" s="197"/>
      <c r="H37" s="197"/>
      <c r="I37" s="197">
        <v>0</v>
      </c>
      <c r="J37" s="197">
        <v>0</v>
      </c>
      <c r="K37" s="197">
        <v>0</v>
      </c>
      <c r="L37" s="224"/>
      <c r="M37" s="221"/>
      <c r="N37" s="221"/>
      <c r="O37" s="221"/>
      <c r="P37" s="173">
        <v>0</v>
      </c>
      <c r="Q37" s="231"/>
    </row>
    <row r="38" spans="1:17" ht="25.5" customHeight="1">
      <c r="A38" s="223"/>
      <c r="B38" s="225"/>
      <c r="C38" s="206"/>
      <c r="D38" s="206"/>
      <c r="E38" s="151">
        <v>2023</v>
      </c>
      <c r="F38" s="172">
        <f t="shared" si="1"/>
        <v>0</v>
      </c>
      <c r="G38" s="197"/>
      <c r="H38" s="197"/>
      <c r="I38" s="197">
        <v>0</v>
      </c>
      <c r="J38" s="197">
        <v>0</v>
      </c>
      <c r="K38" s="197">
        <v>0</v>
      </c>
      <c r="L38" s="224"/>
      <c r="M38" s="221"/>
      <c r="N38" s="221"/>
      <c r="O38" s="221"/>
      <c r="P38" s="173">
        <v>0</v>
      </c>
      <c r="Q38" s="231"/>
    </row>
    <row r="39" spans="1:17" ht="26.25" customHeight="1">
      <c r="A39" s="227"/>
      <c r="B39" s="226"/>
      <c r="C39" s="207"/>
      <c r="D39" s="207"/>
      <c r="E39" s="151">
        <v>2024</v>
      </c>
      <c r="F39" s="172">
        <f t="shared" si="1"/>
        <v>0</v>
      </c>
      <c r="G39" s="129"/>
      <c r="H39" s="129"/>
      <c r="I39" s="129">
        <v>0</v>
      </c>
      <c r="J39" s="129">
        <v>0</v>
      </c>
      <c r="K39" s="129">
        <v>0</v>
      </c>
      <c r="L39" s="296"/>
      <c r="M39" s="222"/>
      <c r="N39" s="222"/>
      <c r="O39" s="222"/>
      <c r="P39" s="173">
        <v>0</v>
      </c>
      <c r="Q39" s="231"/>
    </row>
    <row r="40" spans="1:17" ht="26.25" customHeight="1" hidden="1">
      <c r="A40" s="205" t="s">
        <v>165</v>
      </c>
      <c r="B40" s="208" t="s">
        <v>134</v>
      </c>
      <c r="C40" s="205" t="s">
        <v>44</v>
      </c>
      <c r="D40" s="205" t="s">
        <v>122</v>
      </c>
      <c r="E40" s="151">
        <v>2021</v>
      </c>
      <c r="F40" s="172">
        <f t="shared" si="1"/>
        <v>0</v>
      </c>
      <c r="G40" s="129"/>
      <c r="H40" s="129"/>
      <c r="I40" s="129">
        <v>0</v>
      </c>
      <c r="J40" s="197">
        <v>0</v>
      </c>
      <c r="K40" s="129">
        <v>0</v>
      </c>
      <c r="L40" s="217" t="s">
        <v>180</v>
      </c>
      <c r="M40" s="202" t="s">
        <v>36</v>
      </c>
      <c r="N40" s="135"/>
      <c r="O40" s="135"/>
      <c r="P40" s="155">
        <v>100</v>
      </c>
      <c r="Q40" s="162"/>
    </row>
    <row r="41" spans="1:17" ht="26.25" customHeight="1" hidden="1">
      <c r="A41" s="223"/>
      <c r="B41" s="225"/>
      <c r="C41" s="206"/>
      <c r="D41" s="206"/>
      <c r="E41" s="151">
        <v>2022</v>
      </c>
      <c r="F41" s="172">
        <f t="shared" si="1"/>
        <v>0</v>
      </c>
      <c r="G41" s="129"/>
      <c r="H41" s="129"/>
      <c r="I41" s="129">
        <v>0</v>
      </c>
      <c r="J41" s="197">
        <v>0</v>
      </c>
      <c r="K41" s="129">
        <v>0</v>
      </c>
      <c r="L41" s="213"/>
      <c r="M41" s="228"/>
      <c r="N41" s="135"/>
      <c r="O41" s="135"/>
      <c r="P41" s="155">
        <v>0</v>
      </c>
      <c r="Q41" s="162">
        <v>71100</v>
      </c>
    </row>
    <row r="42" spans="1:17" ht="26.25" customHeight="1" hidden="1">
      <c r="A42" s="223"/>
      <c r="B42" s="225"/>
      <c r="C42" s="206"/>
      <c r="D42" s="206"/>
      <c r="E42" s="151">
        <v>2023</v>
      </c>
      <c r="F42" s="172">
        <f t="shared" si="1"/>
        <v>0</v>
      </c>
      <c r="G42" s="129"/>
      <c r="H42" s="129"/>
      <c r="I42" s="129">
        <v>0</v>
      </c>
      <c r="J42" s="197">
        <v>0</v>
      </c>
      <c r="K42" s="129">
        <v>0</v>
      </c>
      <c r="L42" s="213"/>
      <c r="M42" s="228"/>
      <c r="N42" s="135"/>
      <c r="O42" s="135"/>
      <c r="P42" s="155">
        <v>0</v>
      </c>
      <c r="Q42" s="162"/>
    </row>
    <row r="43" spans="1:17" ht="24" customHeight="1" hidden="1">
      <c r="A43" s="227"/>
      <c r="B43" s="226"/>
      <c r="C43" s="207"/>
      <c r="D43" s="207"/>
      <c r="E43" s="151">
        <v>2024</v>
      </c>
      <c r="F43" s="172">
        <f t="shared" si="1"/>
        <v>0</v>
      </c>
      <c r="G43" s="129"/>
      <c r="H43" s="129"/>
      <c r="I43" s="129">
        <v>0</v>
      </c>
      <c r="J43" s="129">
        <v>0</v>
      </c>
      <c r="K43" s="129">
        <v>0</v>
      </c>
      <c r="L43" s="214"/>
      <c r="M43" s="229"/>
      <c r="N43" s="135"/>
      <c r="O43" s="135"/>
      <c r="P43" s="155">
        <v>0</v>
      </c>
      <c r="Q43" s="162"/>
    </row>
    <row r="44" spans="1:17" ht="24.75" customHeight="1">
      <c r="A44" s="205" t="s">
        <v>165</v>
      </c>
      <c r="B44" s="208" t="s">
        <v>241</v>
      </c>
      <c r="C44" s="216" t="s">
        <v>44</v>
      </c>
      <c r="D44" s="216" t="s">
        <v>122</v>
      </c>
      <c r="E44" s="151">
        <v>2021</v>
      </c>
      <c r="F44" s="126">
        <f t="shared" si="1"/>
        <v>23773997.64</v>
      </c>
      <c r="G44" s="126"/>
      <c r="H44" s="126"/>
      <c r="I44" s="126">
        <v>23773997.64</v>
      </c>
      <c r="J44" s="126">
        <v>0</v>
      </c>
      <c r="K44" s="126">
        <v>0</v>
      </c>
      <c r="L44" s="217" t="s">
        <v>154</v>
      </c>
      <c r="M44" s="202" t="s">
        <v>36</v>
      </c>
      <c r="N44" s="135"/>
      <c r="O44" s="135"/>
      <c r="P44" s="155">
        <v>100</v>
      </c>
      <c r="Q44" s="231" t="s">
        <v>137</v>
      </c>
    </row>
    <row r="45" spans="1:17" ht="23.25" customHeight="1">
      <c r="A45" s="223"/>
      <c r="B45" s="225"/>
      <c r="C45" s="238"/>
      <c r="D45" s="238"/>
      <c r="E45" s="151">
        <v>2022</v>
      </c>
      <c r="F45" s="126">
        <f t="shared" si="1"/>
        <v>0</v>
      </c>
      <c r="G45" s="126"/>
      <c r="H45" s="126"/>
      <c r="I45" s="126">
        <v>0</v>
      </c>
      <c r="J45" s="126">
        <v>0</v>
      </c>
      <c r="K45" s="126">
        <v>0</v>
      </c>
      <c r="L45" s="224"/>
      <c r="M45" s="228"/>
      <c r="N45" s="135"/>
      <c r="O45" s="135"/>
      <c r="P45" s="155">
        <v>0</v>
      </c>
      <c r="Q45" s="231"/>
    </row>
    <row r="46" spans="1:17" ht="23.25" customHeight="1">
      <c r="A46" s="223"/>
      <c r="B46" s="225"/>
      <c r="C46" s="238"/>
      <c r="D46" s="238"/>
      <c r="E46" s="151">
        <v>2023</v>
      </c>
      <c r="F46" s="126">
        <f t="shared" si="1"/>
        <v>0</v>
      </c>
      <c r="G46" s="126"/>
      <c r="H46" s="126"/>
      <c r="I46" s="126">
        <v>0</v>
      </c>
      <c r="J46" s="126">
        <v>0</v>
      </c>
      <c r="K46" s="126">
        <v>0</v>
      </c>
      <c r="L46" s="224"/>
      <c r="M46" s="228"/>
      <c r="N46" s="135"/>
      <c r="O46" s="135"/>
      <c r="P46" s="155">
        <v>0</v>
      </c>
      <c r="Q46" s="231"/>
    </row>
    <row r="47" spans="1:17" ht="22.5" customHeight="1">
      <c r="A47" s="223"/>
      <c r="B47" s="226"/>
      <c r="C47" s="239"/>
      <c r="D47" s="239"/>
      <c r="E47" s="151">
        <v>2024</v>
      </c>
      <c r="F47" s="126">
        <f t="shared" si="1"/>
        <v>0</v>
      </c>
      <c r="G47" s="126"/>
      <c r="H47" s="126"/>
      <c r="I47" s="126">
        <v>0</v>
      </c>
      <c r="J47" s="126">
        <v>0</v>
      </c>
      <c r="K47" s="126">
        <v>0</v>
      </c>
      <c r="L47" s="296"/>
      <c r="M47" s="229"/>
      <c r="N47" s="135"/>
      <c r="O47" s="135"/>
      <c r="P47" s="155">
        <v>0</v>
      </c>
      <c r="Q47" s="231"/>
    </row>
    <row r="48" spans="1:17" ht="32.25" customHeight="1">
      <c r="A48" s="205" t="s">
        <v>168</v>
      </c>
      <c r="B48" s="208" t="s">
        <v>166</v>
      </c>
      <c r="C48" s="216" t="s">
        <v>44</v>
      </c>
      <c r="D48" s="216" t="s">
        <v>122</v>
      </c>
      <c r="E48" s="151">
        <v>2021</v>
      </c>
      <c r="F48" s="126">
        <f t="shared" si="1"/>
        <v>5558723.04</v>
      </c>
      <c r="G48" s="126"/>
      <c r="H48" s="126"/>
      <c r="I48" s="126">
        <v>5558723.04</v>
      </c>
      <c r="J48" s="126">
        <v>0</v>
      </c>
      <c r="K48" s="126">
        <v>0</v>
      </c>
      <c r="L48" s="217" t="s">
        <v>167</v>
      </c>
      <c r="M48" s="202" t="s">
        <v>36</v>
      </c>
      <c r="N48" s="135"/>
      <c r="O48" s="135"/>
      <c r="P48" s="155">
        <v>100</v>
      </c>
      <c r="Q48" s="185"/>
    </row>
    <row r="49" spans="1:17" ht="29.25" customHeight="1">
      <c r="A49" s="206"/>
      <c r="B49" s="213"/>
      <c r="C49" s="206"/>
      <c r="D49" s="206"/>
      <c r="E49" s="151">
        <v>2022</v>
      </c>
      <c r="F49" s="126">
        <f t="shared" si="1"/>
        <v>2201000</v>
      </c>
      <c r="G49" s="126"/>
      <c r="H49" s="126"/>
      <c r="I49" s="126">
        <v>2201000</v>
      </c>
      <c r="J49" s="126">
        <v>0</v>
      </c>
      <c r="K49" s="126">
        <v>0</v>
      </c>
      <c r="L49" s="213"/>
      <c r="M49" s="203"/>
      <c r="N49" s="135"/>
      <c r="O49" s="135"/>
      <c r="P49" s="155">
        <v>100</v>
      </c>
      <c r="Q49" s="185"/>
    </row>
    <row r="50" spans="1:17" ht="28.5" customHeight="1">
      <c r="A50" s="206"/>
      <c r="B50" s="213"/>
      <c r="C50" s="206"/>
      <c r="D50" s="206"/>
      <c r="E50" s="151">
        <v>2023</v>
      </c>
      <c r="F50" s="126">
        <f t="shared" si="1"/>
        <v>0</v>
      </c>
      <c r="G50" s="126"/>
      <c r="H50" s="126"/>
      <c r="I50" s="126">
        <v>0</v>
      </c>
      <c r="J50" s="126">
        <v>0</v>
      </c>
      <c r="K50" s="126">
        <v>0</v>
      </c>
      <c r="L50" s="213"/>
      <c r="M50" s="203"/>
      <c r="N50" s="135"/>
      <c r="O50" s="135"/>
      <c r="P50" s="155">
        <v>0</v>
      </c>
      <c r="Q50" s="185">
        <v>13060</v>
      </c>
    </row>
    <row r="51" spans="1:17" ht="32.25" customHeight="1">
      <c r="A51" s="207"/>
      <c r="B51" s="214"/>
      <c r="C51" s="207"/>
      <c r="D51" s="207"/>
      <c r="E51" s="151">
        <v>2024</v>
      </c>
      <c r="F51" s="126">
        <f t="shared" si="1"/>
        <v>0</v>
      </c>
      <c r="G51" s="126"/>
      <c r="H51" s="126"/>
      <c r="I51" s="126">
        <v>0</v>
      </c>
      <c r="J51" s="126">
        <v>0</v>
      </c>
      <c r="K51" s="126">
        <v>0</v>
      </c>
      <c r="L51" s="214"/>
      <c r="M51" s="204"/>
      <c r="N51" s="135"/>
      <c r="O51" s="135"/>
      <c r="P51" s="155">
        <v>0</v>
      </c>
      <c r="Q51" s="185"/>
    </row>
    <row r="52" spans="1:17" ht="33.75" customHeight="1">
      <c r="A52" s="205" t="s">
        <v>169</v>
      </c>
      <c r="B52" s="208" t="s">
        <v>172</v>
      </c>
      <c r="C52" s="216" t="s">
        <v>44</v>
      </c>
      <c r="D52" s="216" t="s">
        <v>122</v>
      </c>
      <c r="E52" s="151">
        <v>2021</v>
      </c>
      <c r="F52" s="126">
        <f aca="true" t="shared" si="2" ref="F52:F64">I52+J52+K52</f>
        <v>1050723.35</v>
      </c>
      <c r="G52" s="126"/>
      <c r="H52" s="126"/>
      <c r="I52" s="126">
        <v>1050723.35</v>
      </c>
      <c r="J52" s="126">
        <v>0</v>
      </c>
      <c r="K52" s="126">
        <v>0</v>
      </c>
      <c r="L52" s="217" t="s">
        <v>173</v>
      </c>
      <c r="M52" s="202" t="s">
        <v>36</v>
      </c>
      <c r="N52" s="135"/>
      <c r="O52" s="135"/>
      <c r="P52" s="155">
        <v>100</v>
      </c>
      <c r="Q52" s="185"/>
    </row>
    <row r="53" spans="1:17" ht="28.5" customHeight="1">
      <c r="A53" s="206"/>
      <c r="B53" s="213"/>
      <c r="C53" s="206"/>
      <c r="D53" s="206"/>
      <c r="E53" s="151">
        <v>2022</v>
      </c>
      <c r="F53" s="126">
        <f t="shared" si="2"/>
        <v>270597.3</v>
      </c>
      <c r="G53" s="126"/>
      <c r="H53" s="126"/>
      <c r="I53" s="126">
        <v>270597.3</v>
      </c>
      <c r="J53" s="126">
        <v>0</v>
      </c>
      <c r="K53" s="126">
        <v>0</v>
      </c>
      <c r="L53" s="213"/>
      <c r="M53" s="203"/>
      <c r="N53" s="135"/>
      <c r="O53" s="135"/>
      <c r="P53" s="155">
        <v>100</v>
      </c>
      <c r="Q53" s="185"/>
    </row>
    <row r="54" spans="1:17" ht="30" customHeight="1">
      <c r="A54" s="206"/>
      <c r="B54" s="213"/>
      <c r="C54" s="206"/>
      <c r="D54" s="206"/>
      <c r="E54" s="151">
        <v>2023</v>
      </c>
      <c r="F54" s="126">
        <f t="shared" si="2"/>
        <v>0</v>
      </c>
      <c r="G54" s="126"/>
      <c r="H54" s="126"/>
      <c r="I54" s="126">
        <v>0</v>
      </c>
      <c r="J54" s="126">
        <v>0</v>
      </c>
      <c r="K54" s="126">
        <v>0</v>
      </c>
      <c r="L54" s="213"/>
      <c r="M54" s="203"/>
      <c r="N54" s="135"/>
      <c r="O54" s="135"/>
      <c r="P54" s="155">
        <v>0</v>
      </c>
      <c r="Q54" s="185">
        <v>90220</v>
      </c>
    </row>
    <row r="55" spans="1:17" ht="31.5" customHeight="1">
      <c r="A55" s="207"/>
      <c r="B55" s="214"/>
      <c r="C55" s="207"/>
      <c r="D55" s="207"/>
      <c r="E55" s="151">
        <v>2024</v>
      </c>
      <c r="F55" s="126">
        <f t="shared" si="2"/>
        <v>0</v>
      </c>
      <c r="G55" s="126"/>
      <c r="H55" s="126"/>
      <c r="I55" s="126">
        <v>0</v>
      </c>
      <c r="J55" s="126">
        <v>0</v>
      </c>
      <c r="K55" s="126">
        <v>0</v>
      </c>
      <c r="L55" s="214"/>
      <c r="M55" s="204"/>
      <c r="N55" s="135"/>
      <c r="O55" s="135"/>
      <c r="P55" s="155">
        <v>0</v>
      </c>
      <c r="Q55" s="185"/>
    </row>
    <row r="56" spans="1:17" ht="31.5" customHeight="1">
      <c r="A56" s="205" t="s">
        <v>176</v>
      </c>
      <c r="B56" s="208" t="s">
        <v>204</v>
      </c>
      <c r="C56" s="216" t="s">
        <v>44</v>
      </c>
      <c r="D56" s="216" t="s">
        <v>122</v>
      </c>
      <c r="E56" s="151">
        <v>2021</v>
      </c>
      <c r="F56" s="126">
        <f t="shared" si="2"/>
        <v>234988.79</v>
      </c>
      <c r="G56" s="126"/>
      <c r="H56" s="126"/>
      <c r="I56" s="126">
        <v>234988.79</v>
      </c>
      <c r="J56" s="126">
        <v>0</v>
      </c>
      <c r="K56" s="126">
        <v>0</v>
      </c>
      <c r="L56" s="217" t="s">
        <v>229</v>
      </c>
      <c r="M56" s="202" t="s">
        <v>36</v>
      </c>
      <c r="N56" s="135"/>
      <c r="O56" s="135"/>
      <c r="P56" s="155">
        <v>100</v>
      </c>
      <c r="Q56" s="185"/>
    </row>
    <row r="57" spans="1:17" ht="31.5" customHeight="1">
      <c r="A57" s="206"/>
      <c r="B57" s="213"/>
      <c r="C57" s="206"/>
      <c r="D57" s="206"/>
      <c r="E57" s="151">
        <v>2022</v>
      </c>
      <c r="F57" s="126">
        <f t="shared" si="2"/>
        <v>0</v>
      </c>
      <c r="G57" s="126"/>
      <c r="H57" s="126"/>
      <c r="I57" s="126">
        <v>0</v>
      </c>
      <c r="J57" s="126">
        <v>0</v>
      </c>
      <c r="K57" s="126">
        <v>0</v>
      </c>
      <c r="L57" s="213"/>
      <c r="M57" s="203"/>
      <c r="N57" s="135"/>
      <c r="O57" s="135"/>
      <c r="P57" s="155">
        <v>0</v>
      </c>
      <c r="Q57" s="185">
        <v>90230</v>
      </c>
    </row>
    <row r="58" spans="1:17" ht="31.5" customHeight="1">
      <c r="A58" s="206"/>
      <c r="B58" s="213"/>
      <c r="C58" s="206"/>
      <c r="D58" s="206"/>
      <c r="E58" s="151">
        <v>2023</v>
      </c>
      <c r="F58" s="126">
        <f t="shared" si="2"/>
        <v>0</v>
      </c>
      <c r="G58" s="126"/>
      <c r="H58" s="126"/>
      <c r="I58" s="126">
        <v>0</v>
      </c>
      <c r="J58" s="126">
        <v>0</v>
      </c>
      <c r="K58" s="126">
        <v>0</v>
      </c>
      <c r="L58" s="213"/>
      <c r="M58" s="203"/>
      <c r="N58" s="135"/>
      <c r="O58" s="135"/>
      <c r="P58" s="155">
        <v>0</v>
      </c>
      <c r="Q58" s="185"/>
    </row>
    <row r="59" spans="1:17" ht="31.5" customHeight="1">
      <c r="A59" s="207"/>
      <c r="B59" s="214"/>
      <c r="C59" s="207"/>
      <c r="D59" s="207"/>
      <c r="E59" s="151">
        <v>2024</v>
      </c>
      <c r="F59" s="126">
        <f t="shared" si="2"/>
        <v>0</v>
      </c>
      <c r="G59" s="126"/>
      <c r="H59" s="126"/>
      <c r="I59" s="126">
        <v>0</v>
      </c>
      <c r="J59" s="126">
        <v>0</v>
      </c>
      <c r="K59" s="126">
        <v>0</v>
      </c>
      <c r="L59" s="214"/>
      <c r="M59" s="204"/>
      <c r="N59" s="135"/>
      <c r="O59" s="135"/>
      <c r="P59" s="155">
        <v>0</v>
      </c>
      <c r="Q59" s="185"/>
    </row>
    <row r="60" spans="1:17" ht="24" customHeight="1">
      <c r="A60" s="205" t="s">
        <v>181</v>
      </c>
      <c r="B60" s="208" t="s">
        <v>170</v>
      </c>
      <c r="C60" s="216" t="s">
        <v>44</v>
      </c>
      <c r="D60" s="216" t="s">
        <v>122</v>
      </c>
      <c r="E60" s="151">
        <v>2021</v>
      </c>
      <c r="F60" s="126">
        <f t="shared" si="2"/>
        <v>80000</v>
      </c>
      <c r="G60" s="126"/>
      <c r="H60" s="126"/>
      <c r="I60" s="126">
        <v>80000</v>
      </c>
      <c r="J60" s="126">
        <v>0</v>
      </c>
      <c r="K60" s="126">
        <v>0</v>
      </c>
      <c r="L60" s="217" t="s">
        <v>171</v>
      </c>
      <c r="M60" s="202" t="s">
        <v>123</v>
      </c>
      <c r="N60" s="135"/>
      <c r="O60" s="135"/>
      <c r="P60" s="155">
        <v>8</v>
      </c>
      <c r="Q60" s="185"/>
    </row>
    <row r="61" spans="1:17" ht="24" customHeight="1">
      <c r="A61" s="206"/>
      <c r="B61" s="213"/>
      <c r="C61" s="206"/>
      <c r="D61" s="206"/>
      <c r="E61" s="151">
        <v>2022</v>
      </c>
      <c r="F61" s="126">
        <f t="shared" si="2"/>
        <v>0</v>
      </c>
      <c r="G61" s="126"/>
      <c r="H61" s="126"/>
      <c r="I61" s="126">
        <v>0</v>
      </c>
      <c r="J61" s="126">
        <v>0</v>
      </c>
      <c r="K61" s="126">
        <v>0</v>
      </c>
      <c r="L61" s="213"/>
      <c r="M61" s="203"/>
      <c r="N61" s="135"/>
      <c r="O61" s="135"/>
      <c r="P61" s="155">
        <v>0</v>
      </c>
      <c r="Q61" s="185"/>
    </row>
    <row r="62" spans="1:17" ht="24" customHeight="1">
      <c r="A62" s="206"/>
      <c r="B62" s="213"/>
      <c r="C62" s="206"/>
      <c r="D62" s="206"/>
      <c r="E62" s="151">
        <v>2023</v>
      </c>
      <c r="F62" s="126">
        <f t="shared" si="2"/>
        <v>0</v>
      </c>
      <c r="G62" s="126"/>
      <c r="H62" s="126"/>
      <c r="I62" s="126">
        <v>0</v>
      </c>
      <c r="J62" s="126">
        <v>0</v>
      </c>
      <c r="K62" s="126">
        <v>0</v>
      </c>
      <c r="L62" s="213"/>
      <c r="M62" s="203"/>
      <c r="N62" s="135"/>
      <c r="O62" s="135"/>
      <c r="P62" s="155">
        <v>0</v>
      </c>
      <c r="Q62" s="185">
        <v>28260</v>
      </c>
    </row>
    <row r="63" spans="1:17" ht="24" customHeight="1">
      <c r="A63" s="207"/>
      <c r="B63" s="214"/>
      <c r="C63" s="207"/>
      <c r="D63" s="207"/>
      <c r="E63" s="151">
        <v>2024</v>
      </c>
      <c r="F63" s="126">
        <f t="shared" si="2"/>
        <v>0</v>
      </c>
      <c r="G63" s="126"/>
      <c r="H63" s="126"/>
      <c r="I63" s="126">
        <v>0</v>
      </c>
      <c r="J63" s="126">
        <v>0</v>
      </c>
      <c r="K63" s="126">
        <v>0</v>
      </c>
      <c r="L63" s="214"/>
      <c r="M63" s="204"/>
      <c r="N63" s="135"/>
      <c r="O63" s="135"/>
      <c r="P63" s="155">
        <v>0</v>
      </c>
      <c r="Q63" s="185"/>
    </row>
    <row r="64" spans="1:16" ht="24" customHeight="1">
      <c r="A64" s="276" t="s">
        <v>1</v>
      </c>
      <c r="B64" s="278" t="s">
        <v>83</v>
      </c>
      <c r="C64" s="276" t="s">
        <v>45</v>
      </c>
      <c r="D64" s="276" t="s">
        <v>122</v>
      </c>
      <c r="E64" s="150">
        <v>2021</v>
      </c>
      <c r="F64" s="3">
        <f t="shared" si="2"/>
        <v>382280335.1</v>
      </c>
      <c r="G64" s="3" t="e">
        <f>SUM(G65:G67)</f>
        <v>#REF!</v>
      </c>
      <c r="H64" s="3" t="e">
        <f>SUM(H65:H67)</f>
        <v>#REF!</v>
      </c>
      <c r="I64" s="3">
        <f>I72+I76+I80+I68+I84+I88+I92+I96+I100</f>
        <v>38299006.1</v>
      </c>
      <c r="J64" s="3">
        <f>J72+J76+J80+J68+J84+J88+J92+J96+J100</f>
        <v>343981329</v>
      </c>
      <c r="K64" s="3">
        <f>K72+K76+K80+K68+K84+K88+K92+K96+K100</f>
        <v>0</v>
      </c>
      <c r="L64" s="290" t="s">
        <v>114</v>
      </c>
      <c r="M64" s="293" t="s">
        <v>40</v>
      </c>
      <c r="N64" s="122">
        <f>N72</f>
        <v>0</v>
      </c>
      <c r="O64" s="122">
        <f>O72</f>
        <v>0</v>
      </c>
      <c r="P64" s="153">
        <v>3356</v>
      </c>
    </row>
    <row r="65" spans="1:16" ht="25.5" customHeight="1">
      <c r="A65" s="277"/>
      <c r="B65" s="279"/>
      <c r="C65" s="277"/>
      <c r="D65" s="277"/>
      <c r="E65" s="150">
        <v>2022</v>
      </c>
      <c r="F65" s="3">
        <f t="shared" si="1"/>
        <v>381461351.74</v>
      </c>
      <c r="G65" s="118" t="e">
        <f>G72+G142+#REF!+#REF!</f>
        <v>#REF!</v>
      </c>
      <c r="H65" s="118" t="e">
        <f>H72+H142+#REF!+#REF!</f>
        <v>#REF!</v>
      </c>
      <c r="I65" s="3">
        <f aca="true" t="shared" si="3" ref="I65:K67">I73+I77+I81+I69+I85+I89+I93+I97+I101</f>
        <v>35365707.739999995</v>
      </c>
      <c r="J65" s="3">
        <f t="shared" si="3"/>
        <v>346095644</v>
      </c>
      <c r="K65" s="3">
        <f t="shared" si="3"/>
        <v>0</v>
      </c>
      <c r="L65" s="291"/>
      <c r="M65" s="294"/>
      <c r="N65" s="123">
        <f>N75</f>
        <v>0</v>
      </c>
      <c r="O65" s="123">
        <f>O75</f>
        <v>0</v>
      </c>
      <c r="P65" s="153">
        <v>3356</v>
      </c>
    </row>
    <row r="66" spans="1:16" ht="25.5" customHeight="1">
      <c r="A66" s="277"/>
      <c r="B66" s="279"/>
      <c r="C66" s="277"/>
      <c r="D66" s="277"/>
      <c r="E66" s="150">
        <v>2023</v>
      </c>
      <c r="F66" s="3">
        <f t="shared" si="1"/>
        <v>384820279.58</v>
      </c>
      <c r="G66" s="118"/>
      <c r="H66" s="118"/>
      <c r="I66" s="3">
        <f t="shared" si="3"/>
        <v>32781335.58</v>
      </c>
      <c r="J66" s="3">
        <f t="shared" si="3"/>
        <v>352038944</v>
      </c>
      <c r="K66" s="3">
        <f t="shared" si="3"/>
        <v>0</v>
      </c>
      <c r="L66" s="291"/>
      <c r="M66" s="294"/>
      <c r="N66" s="123"/>
      <c r="O66" s="123"/>
      <c r="P66" s="153">
        <v>3356</v>
      </c>
    </row>
    <row r="67" spans="1:16" ht="23.25" customHeight="1">
      <c r="A67" s="277"/>
      <c r="B67" s="279"/>
      <c r="C67" s="277"/>
      <c r="D67" s="277"/>
      <c r="E67" s="150">
        <v>2024</v>
      </c>
      <c r="F67" s="3">
        <f t="shared" si="1"/>
        <v>394804179.58</v>
      </c>
      <c r="G67" s="3" t="e">
        <f>#REF!+#REF!+G143+#REF!</f>
        <v>#REF!</v>
      </c>
      <c r="H67" s="3" t="e">
        <f>#REF!+#REF!+H143+#REF!</f>
        <v>#REF!</v>
      </c>
      <c r="I67" s="3">
        <f t="shared" si="3"/>
        <v>32781335.58</v>
      </c>
      <c r="J67" s="3">
        <f t="shared" si="3"/>
        <v>362022844</v>
      </c>
      <c r="K67" s="3">
        <f t="shared" si="3"/>
        <v>0</v>
      </c>
      <c r="L67" s="292"/>
      <c r="M67" s="295"/>
      <c r="N67" s="124">
        <f>N83</f>
        <v>100</v>
      </c>
      <c r="O67" s="124">
        <f>O83</f>
        <v>100</v>
      </c>
      <c r="P67" s="153">
        <v>3356</v>
      </c>
    </row>
    <row r="68" spans="1:16" ht="23.25" customHeight="1">
      <c r="A68" s="205" t="s">
        <v>49</v>
      </c>
      <c r="B68" s="208" t="s">
        <v>236</v>
      </c>
      <c r="C68" s="211" t="s">
        <v>45</v>
      </c>
      <c r="D68" s="211" t="s">
        <v>122</v>
      </c>
      <c r="E68" s="151">
        <v>2021</v>
      </c>
      <c r="F68" s="172">
        <f>I68+J68+K68</f>
        <v>315054100</v>
      </c>
      <c r="G68" s="172">
        <v>190951400</v>
      </c>
      <c r="H68" s="172">
        <v>209574800</v>
      </c>
      <c r="I68" s="139">
        <v>0</v>
      </c>
      <c r="J68" s="139">
        <v>315054100</v>
      </c>
      <c r="K68" s="139">
        <v>0</v>
      </c>
      <c r="L68" s="217" t="s">
        <v>187</v>
      </c>
      <c r="M68" s="220" t="str">
        <f>M16</f>
        <v>чел.</v>
      </c>
      <c r="N68" s="220">
        <f>N16</f>
        <v>0</v>
      </c>
      <c r="O68" s="220">
        <f>O16</f>
        <v>0</v>
      </c>
      <c r="P68" s="173">
        <v>3356</v>
      </c>
    </row>
    <row r="69" spans="1:17" ht="23.25" customHeight="1">
      <c r="A69" s="223"/>
      <c r="B69" s="225"/>
      <c r="C69" s="218"/>
      <c r="D69" s="218"/>
      <c r="E69" s="151">
        <v>2022</v>
      </c>
      <c r="F69" s="172">
        <f>I69+J69+K69</f>
        <v>320222300</v>
      </c>
      <c r="G69" s="197"/>
      <c r="H69" s="197"/>
      <c r="I69" s="139">
        <v>0</v>
      </c>
      <c r="J69" s="139">
        <f>79806381+157483249+24101528+47559941+11271201</f>
        <v>320222300</v>
      </c>
      <c r="K69" s="139">
        <v>0</v>
      </c>
      <c r="L69" s="213"/>
      <c r="M69" s="221"/>
      <c r="N69" s="221"/>
      <c r="O69" s="221"/>
      <c r="P69" s="173">
        <v>3356</v>
      </c>
      <c r="Q69" s="167">
        <v>75310</v>
      </c>
    </row>
    <row r="70" spans="1:16" ht="23.25" customHeight="1">
      <c r="A70" s="223"/>
      <c r="B70" s="225"/>
      <c r="C70" s="218"/>
      <c r="D70" s="218"/>
      <c r="E70" s="151">
        <v>2023</v>
      </c>
      <c r="F70" s="172">
        <f>I70+J70+K70</f>
        <v>326165600</v>
      </c>
      <c r="G70" s="197"/>
      <c r="H70" s="197"/>
      <c r="I70" s="139">
        <v>0</v>
      </c>
      <c r="J70" s="139">
        <f>81216620+160266098+24527420+48400361+11755101</f>
        <v>326165600</v>
      </c>
      <c r="K70" s="139">
        <v>0</v>
      </c>
      <c r="L70" s="213"/>
      <c r="M70" s="221"/>
      <c r="N70" s="221"/>
      <c r="O70" s="221"/>
      <c r="P70" s="173">
        <v>3356</v>
      </c>
    </row>
    <row r="71" spans="1:16" ht="23.25" customHeight="1">
      <c r="A71" s="227"/>
      <c r="B71" s="226"/>
      <c r="C71" s="219"/>
      <c r="D71" s="219"/>
      <c r="E71" s="151">
        <v>2024</v>
      </c>
      <c r="F71" s="172">
        <f>I71+J71+K71</f>
        <v>336149500</v>
      </c>
      <c r="G71" s="197"/>
      <c r="H71" s="197"/>
      <c r="I71" s="197">
        <v>0</v>
      </c>
      <c r="J71" s="197">
        <f>83712269+165190802+25281106+49887622+12077701</f>
        <v>336149500</v>
      </c>
      <c r="K71" s="197">
        <v>0</v>
      </c>
      <c r="L71" s="214"/>
      <c r="M71" s="222"/>
      <c r="N71" s="222"/>
      <c r="O71" s="222"/>
      <c r="P71" s="173">
        <v>3356</v>
      </c>
    </row>
    <row r="72" spans="1:17" ht="25.5" customHeight="1">
      <c r="A72" s="205" t="s">
        <v>50</v>
      </c>
      <c r="B72" s="208" t="s">
        <v>43</v>
      </c>
      <c r="C72" s="211" t="s">
        <v>45</v>
      </c>
      <c r="D72" s="211" t="s">
        <v>122</v>
      </c>
      <c r="E72" s="151">
        <v>2021</v>
      </c>
      <c r="F72" s="172">
        <f t="shared" si="1"/>
        <v>32073323.62</v>
      </c>
      <c r="G72" s="172">
        <v>190951400</v>
      </c>
      <c r="H72" s="172">
        <v>209574800</v>
      </c>
      <c r="I72" s="139">
        <v>32073323.62</v>
      </c>
      <c r="J72" s="139">
        <v>0</v>
      </c>
      <c r="K72" s="139">
        <v>0</v>
      </c>
      <c r="L72" s="217" t="s">
        <v>109</v>
      </c>
      <c r="M72" s="220" t="str">
        <f>M20</f>
        <v>%</v>
      </c>
      <c r="N72" s="220">
        <f>N20</f>
        <v>0</v>
      </c>
      <c r="O72" s="220">
        <f>O20</f>
        <v>0</v>
      </c>
      <c r="P72" s="173">
        <f>P20</f>
        <v>100</v>
      </c>
      <c r="Q72" s="231">
        <v>23020</v>
      </c>
    </row>
    <row r="73" spans="1:17" ht="24.75" customHeight="1">
      <c r="A73" s="223"/>
      <c r="B73" s="225"/>
      <c r="C73" s="218"/>
      <c r="D73" s="218"/>
      <c r="E73" s="151">
        <v>2022</v>
      </c>
      <c r="F73" s="172">
        <f t="shared" si="1"/>
        <v>33509867.049999997</v>
      </c>
      <c r="G73" s="197"/>
      <c r="H73" s="197"/>
      <c r="I73" s="139">
        <f>3827762.65+841904.32+20389309.35+7722359.26+728531.47</f>
        <v>33509867.049999997</v>
      </c>
      <c r="J73" s="139">
        <v>0</v>
      </c>
      <c r="K73" s="139">
        <v>0</v>
      </c>
      <c r="L73" s="213"/>
      <c r="M73" s="221"/>
      <c r="N73" s="221"/>
      <c r="O73" s="221"/>
      <c r="P73" s="173">
        <f>P21</f>
        <v>100</v>
      </c>
      <c r="Q73" s="231"/>
    </row>
    <row r="74" spans="1:17" ht="24.75" customHeight="1">
      <c r="A74" s="223"/>
      <c r="B74" s="225"/>
      <c r="C74" s="218"/>
      <c r="D74" s="218"/>
      <c r="E74" s="151">
        <v>2023</v>
      </c>
      <c r="F74" s="172">
        <f t="shared" si="1"/>
        <v>32781335.58</v>
      </c>
      <c r="G74" s="197"/>
      <c r="H74" s="197"/>
      <c r="I74" s="139">
        <f>3827762.65+841904.32+20389309.35+7722359.26</f>
        <v>32781335.58</v>
      </c>
      <c r="J74" s="139">
        <v>0</v>
      </c>
      <c r="K74" s="139">
        <v>0</v>
      </c>
      <c r="L74" s="213"/>
      <c r="M74" s="221"/>
      <c r="N74" s="221"/>
      <c r="O74" s="221"/>
      <c r="P74" s="173">
        <f>P22</f>
        <v>100</v>
      </c>
      <c r="Q74" s="231"/>
    </row>
    <row r="75" spans="1:17" ht="22.5" customHeight="1">
      <c r="A75" s="227"/>
      <c r="B75" s="226"/>
      <c r="C75" s="219"/>
      <c r="D75" s="219"/>
      <c r="E75" s="151">
        <v>2024</v>
      </c>
      <c r="F75" s="172">
        <f t="shared" si="1"/>
        <v>32781335.58</v>
      </c>
      <c r="G75" s="197"/>
      <c r="H75" s="197"/>
      <c r="I75" s="139">
        <f>3827762.65+841904.32+20389309.35+7722359.26</f>
        <v>32781335.58</v>
      </c>
      <c r="J75" s="197">
        <v>0</v>
      </c>
      <c r="K75" s="197">
        <v>0</v>
      </c>
      <c r="L75" s="214"/>
      <c r="M75" s="222"/>
      <c r="N75" s="222"/>
      <c r="O75" s="222"/>
      <c r="P75" s="173">
        <f>P23</f>
        <v>100</v>
      </c>
      <c r="Q75" s="231"/>
    </row>
    <row r="76" spans="1:17" ht="31.5" customHeight="1">
      <c r="A76" s="205" t="s">
        <v>184</v>
      </c>
      <c r="B76" s="208" t="s">
        <v>183</v>
      </c>
      <c r="C76" s="211" t="s">
        <v>45</v>
      </c>
      <c r="D76" s="211" t="s">
        <v>122</v>
      </c>
      <c r="E76" s="151">
        <v>2021</v>
      </c>
      <c r="F76" s="172">
        <f t="shared" si="1"/>
        <v>25873344</v>
      </c>
      <c r="G76" s="197"/>
      <c r="H76" s="197"/>
      <c r="I76" s="197">
        <v>0</v>
      </c>
      <c r="J76" s="200">
        <f>24748416+1124928</f>
        <v>25873344</v>
      </c>
      <c r="K76" s="197">
        <v>0</v>
      </c>
      <c r="L76" s="217" t="s">
        <v>149</v>
      </c>
      <c r="M76" s="215" t="s">
        <v>36</v>
      </c>
      <c r="N76" s="166"/>
      <c r="O76" s="166"/>
      <c r="P76" s="173">
        <v>100</v>
      </c>
      <c r="Q76" s="231" t="s">
        <v>133</v>
      </c>
    </row>
    <row r="77" spans="1:17" ht="29.25" customHeight="1">
      <c r="A77" s="206"/>
      <c r="B77" s="213"/>
      <c r="C77" s="206"/>
      <c r="D77" s="206"/>
      <c r="E77" s="151">
        <v>2022</v>
      </c>
      <c r="F77" s="172">
        <f>I77+J77+K77</f>
        <v>25873344</v>
      </c>
      <c r="G77" s="197"/>
      <c r="H77" s="197"/>
      <c r="I77" s="197">
        <v>0</v>
      </c>
      <c r="J77" s="200">
        <f>24748416+1124928</f>
        <v>25873344</v>
      </c>
      <c r="K77" s="197">
        <v>0</v>
      </c>
      <c r="L77" s="213"/>
      <c r="M77" s="206"/>
      <c r="N77" s="166"/>
      <c r="O77" s="166"/>
      <c r="P77" s="173">
        <v>100</v>
      </c>
      <c r="Q77" s="231"/>
    </row>
    <row r="78" spans="1:17" ht="28.5" customHeight="1">
      <c r="A78" s="206"/>
      <c r="B78" s="213"/>
      <c r="C78" s="206"/>
      <c r="D78" s="206"/>
      <c r="E78" s="151">
        <v>2023</v>
      </c>
      <c r="F78" s="172">
        <f>I78+J78+K78</f>
        <v>25873344</v>
      </c>
      <c r="G78" s="197"/>
      <c r="H78" s="197"/>
      <c r="I78" s="197">
        <v>0</v>
      </c>
      <c r="J78" s="200">
        <f>24748416+1124928</f>
        <v>25873344</v>
      </c>
      <c r="K78" s="197">
        <v>0</v>
      </c>
      <c r="L78" s="213"/>
      <c r="M78" s="206"/>
      <c r="N78" s="166"/>
      <c r="O78" s="166"/>
      <c r="P78" s="173">
        <v>100</v>
      </c>
      <c r="Q78" s="231"/>
    </row>
    <row r="79" spans="1:17" ht="26.25" customHeight="1">
      <c r="A79" s="207"/>
      <c r="B79" s="214"/>
      <c r="C79" s="207"/>
      <c r="D79" s="207"/>
      <c r="E79" s="151">
        <v>2024</v>
      </c>
      <c r="F79" s="172">
        <f>I79+J79+K79</f>
        <v>25873344</v>
      </c>
      <c r="G79" s="172"/>
      <c r="H79" s="172"/>
      <c r="I79" s="172">
        <v>0</v>
      </c>
      <c r="J79" s="200">
        <f>24748416+1124928</f>
        <v>25873344</v>
      </c>
      <c r="K79" s="172">
        <v>0</v>
      </c>
      <c r="L79" s="214"/>
      <c r="M79" s="207"/>
      <c r="N79" s="169"/>
      <c r="O79" s="169"/>
      <c r="P79" s="173">
        <v>100</v>
      </c>
      <c r="Q79" s="231"/>
    </row>
    <row r="80" spans="1:17" ht="27.75" customHeight="1">
      <c r="A80" s="205" t="s">
        <v>185</v>
      </c>
      <c r="B80" s="208" t="s">
        <v>237</v>
      </c>
      <c r="C80" s="211" t="s">
        <v>45</v>
      </c>
      <c r="D80" s="211" t="s">
        <v>122</v>
      </c>
      <c r="E80" s="151">
        <v>2021</v>
      </c>
      <c r="F80" s="319" t="s">
        <v>238</v>
      </c>
      <c r="G80" s="320"/>
      <c r="H80" s="320"/>
      <c r="I80" s="320"/>
      <c r="J80" s="320"/>
      <c r="K80" s="321"/>
      <c r="L80" s="217" t="s">
        <v>38</v>
      </c>
      <c r="M80" s="215" t="s">
        <v>36</v>
      </c>
      <c r="N80" s="148"/>
      <c r="O80" s="148"/>
      <c r="P80" s="173">
        <v>0</v>
      </c>
      <c r="Q80" s="289">
        <v>75240</v>
      </c>
    </row>
    <row r="81" spans="1:17" ht="39" customHeight="1">
      <c r="A81" s="206"/>
      <c r="B81" s="213"/>
      <c r="C81" s="206"/>
      <c r="D81" s="206"/>
      <c r="E81" s="151">
        <v>2022</v>
      </c>
      <c r="F81" s="322"/>
      <c r="G81" s="323"/>
      <c r="H81" s="323"/>
      <c r="I81" s="323"/>
      <c r="J81" s="323"/>
      <c r="K81" s="324"/>
      <c r="L81" s="213"/>
      <c r="M81" s="206"/>
      <c r="N81" s="148"/>
      <c r="O81" s="148"/>
      <c r="P81" s="173">
        <v>0</v>
      </c>
      <c r="Q81" s="231"/>
    </row>
    <row r="82" spans="1:17" ht="42" customHeight="1">
      <c r="A82" s="206"/>
      <c r="B82" s="213"/>
      <c r="C82" s="206"/>
      <c r="D82" s="206"/>
      <c r="E82" s="151">
        <v>2023</v>
      </c>
      <c r="F82" s="322"/>
      <c r="G82" s="323"/>
      <c r="H82" s="323"/>
      <c r="I82" s="323"/>
      <c r="J82" s="323"/>
      <c r="K82" s="324"/>
      <c r="L82" s="213"/>
      <c r="M82" s="206"/>
      <c r="N82" s="148"/>
      <c r="O82" s="148"/>
      <c r="P82" s="173">
        <v>0</v>
      </c>
      <c r="Q82" s="231"/>
    </row>
    <row r="83" spans="1:18" ht="51.75" customHeight="1">
      <c r="A83" s="207"/>
      <c r="B83" s="214"/>
      <c r="C83" s="207"/>
      <c r="D83" s="207"/>
      <c r="E83" s="151">
        <v>2024</v>
      </c>
      <c r="F83" s="325"/>
      <c r="G83" s="326"/>
      <c r="H83" s="326"/>
      <c r="I83" s="326"/>
      <c r="J83" s="326"/>
      <c r="K83" s="327"/>
      <c r="L83" s="214"/>
      <c r="M83" s="207"/>
      <c r="N83" s="169">
        <v>100</v>
      </c>
      <c r="O83" s="169">
        <v>100</v>
      </c>
      <c r="P83" s="173">
        <v>0</v>
      </c>
      <c r="Q83" s="231"/>
      <c r="R83" s="5"/>
    </row>
    <row r="84" spans="1:18" ht="26.25" customHeight="1">
      <c r="A84" s="205" t="s">
        <v>189</v>
      </c>
      <c r="B84" s="208" t="s">
        <v>193</v>
      </c>
      <c r="C84" s="211" t="s">
        <v>45</v>
      </c>
      <c r="D84" s="211" t="s">
        <v>122</v>
      </c>
      <c r="E84" s="151">
        <v>2021</v>
      </c>
      <c r="F84" s="172">
        <f aca="true" t="shared" si="4" ref="F84:F103">I84+J84+K84</f>
        <v>130200</v>
      </c>
      <c r="G84" s="172"/>
      <c r="H84" s="172"/>
      <c r="I84" s="172">
        <v>130200</v>
      </c>
      <c r="J84" s="172">
        <v>0</v>
      </c>
      <c r="K84" s="172">
        <v>0</v>
      </c>
      <c r="L84" s="217" t="s">
        <v>194</v>
      </c>
      <c r="M84" s="215" t="s">
        <v>36</v>
      </c>
      <c r="N84" s="148"/>
      <c r="O84" s="148"/>
      <c r="P84" s="173">
        <v>100</v>
      </c>
      <c r="Q84" s="185"/>
      <c r="R84" s="5"/>
    </row>
    <row r="85" spans="1:18" ht="24" customHeight="1">
      <c r="A85" s="206"/>
      <c r="B85" s="213"/>
      <c r="C85" s="206"/>
      <c r="D85" s="206"/>
      <c r="E85" s="151">
        <v>2022</v>
      </c>
      <c r="F85" s="172">
        <f t="shared" si="4"/>
        <v>0</v>
      </c>
      <c r="G85" s="172"/>
      <c r="H85" s="172"/>
      <c r="I85" s="172">
        <v>0</v>
      </c>
      <c r="J85" s="172">
        <v>0</v>
      </c>
      <c r="K85" s="172">
        <v>0</v>
      </c>
      <c r="L85" s="213"/>
      <c r="M85" s="206"/>
      <c r="N85" s="148"/>
      <c r="O85" s="148"/>
      <c r="P85" s="173">
        <v>0</v>
      </c>
      <c r="Q85" s="185">
        <v>28130</v>
      </c>
      <c r="R85" s="5"/>
    </row>
    <row r="86" spans="1:18" ht="21.75" customHeight="1">
      <c r="A86" s="206"/>
      <c r="B86" s="213"/>
      <c r="C86" s="206"/>
      <c r="D86" s="206"/>
      <c r="E86" s="151">
        <v>2023</v>
      </c>
      <c r="F86" s="172">
        <f t="shared" si="4"/>
        <v>0</v>
      </c>
      <c r="G86" s="172"/>
      <c r="H86" s="172"/>
      <c r="I86" s="172">
        <v>0</v>
      </c>
      <c r="J86" s="172">
        <v>0</v>
      </c>
      <c r="K86" s="172">
        <v>0</v>
      </c>
      <c r="L86" s="213"/>
      <c r="M86" s="206"/>
      <c r="N86" s="148"/>
      <c r="O86" s="148"/>
      <c r="P86" s="173">
        <v>0</v>
      </c>
      <c r="Q86" s="185"/>
      <c r="R86" s="5"/>
    </row>
    <row r="87" spans="1:18" ht="23.25" customHeight="1">
      <c r="A87" s="207"/>
      <c r="B87" s="214"/>
      <c r="C87" s="207"/>
      <c r="D87" s="207"/>
      <c r="E87" s="151">
        <v>2024</v>
      </c>
      <c r="F87" s="172">
        <f t="shared" si="4"/>
        <v>0</v>
      </c>
      <c r="G87" s="172"/>
      <c r="H87" s="172"/>
      <c r="I87" s="172">
        <v>0</v>
      </c>
      <c r="J87" s="172">
        <v>0</v>
      </c>
      <c r="K87" s="172">
        <v>0</v>
      </c>
      <c r="L87" s="214"/>
      <c r="M87" s="207"/>
      <c r="N87" s="169">
        <v>100</v>
      </c>
      <c r="O87" s="169">
        <v>100</v>
      </c>
      <c r="P87" s="169">
        <v>0</v>
      </c>
      <c r="Q87" s="185"/>
      <c r="R87" s="5"/>
    </row>
    <row r="88" spans="1:18" ht="29.25" customHeight="1">
      <c r="A88" s="205" t="s">
        <v>190</v>
      </c>
      <c r="B88" s="208" t="s">
        <v>172</v>
      </c>
      <c r="C88" s="211" t="s">
        <v>45</v>
      </c>
      <c r="D88" s="211" t="s">
        <v>122</v>
      </c>
      <c r="E88" s="151">
        <v>2021</v>
      </c>
      <c r="F88" s="172">
        <f t="shared" si="4"/>
        <v>511797.38</v>
      </c>
      <c r="G88" s="172"/>
      <c r="H88" s="172"/>
      <c r="I88" s="172">
        <v>511797.38</v>
      </c>
      <c r="J88" s="172">
        <v>0</v>
      </c>
      <c r="K88" s="172">
        <v>0</v>
      </c>
      <c r="L88" s="217" t="s">
        <v>195</v>
      </c>
      <c r="M88" s="215" t="s">
        <v>36</v>
      </c>
      <c r="N88" s="148"/>
      <c r="O88" s="148"/>
      <c r="P88" s="173">
        <v>100</v>
      </c>
      <c r="Q88" s="185"/>
      <c r="R88" s="5"/>
    </row>
    <row r="89" spans="1:18" ht="22.5" customHeight="1">
      <c r="A89" s="206"/>
      <c r="B89" s="213"/>
      <c r="C89" s="206"/>
      <c r="D89" s="206"/>
      <c r="E89" s="151">
        <v>2022</v>
      </c>
      <c r="F89" s="172">
        <f t="shared" si="4"/>
        <v>415840.69</v>
      </c>
      <c r="G89" s="172"/>
      <c r="H89" s="172"/>
      <c r="I89" s="172">
        <v>415840.69</v>
      </c>
      <c r="J89" s="172">
        <v>0</v>
      </c>
      <c r="K89" s="172">
        <v>0</v>
      </c>
      <c r="L89" s="213"/>
      <c r="M89" s="206"/>
      <c r="N89" s="148"/>
      <c r="O89" s="148"/>
      <c r="P89" s="173">
        <v>100</v>
      </c>
      <c r="Q89" s="185">
        <v>90220</v>
      </c>
      <c r="R89" s="5"/>
    </row>
    <row r="90" spans="1:18" ht="23.25" customHeight="1">
      <c r="A90" s="206"/>
      <c r="B90" s="213"/>
      <c r="C90" s="206"/>
      <c r="D90" s="206"/>
      <c r="E90" s="151">
        <v>2023</v>
      </c>
      <c r="F90" s="172">
        <f t="shared" si="4"/>
        <v>0</v>
      </c>
      <c r="G90" s="172"/>
      <c r="H90" s="172"/>
      <c r="I90" s="172">
        <v>0</v>
      </c>
      <c r="J90" s="172">
        <v>0</v>
      </c>
      <c r="K90" s="172">
        <v>0</v>
      </c>
      <c r="L90" s="213"/>
      <c r="M90" s="206"/>
      <c r="N90" s="148"/>
      <c r="O90" s="148"/>
      <c r="P90" s="173">
        <v>0</v>
      </c>
      <c r="Q90" s="185"/>
      <c r="R90" s="5"/>
    </row>
    <row r="91" spans="1:18" ht="24" customHeight="1">
      <c r="A91" s="207"/>
      <c r="B91" s="214"/>
      <c r="C91" s="207"/>
      <c r="D91" s="207"/>
      <c r="E91" s="151">
        <v>2024</v>
      </c>
      <c r="F91" s="172">
        <f t="shared" si="4"/>
        <v>0</v>
      </c>
      <c r="G91" s="172"/>
      <c r="H91" s="172"/>
      <c r="I91" s="172">
        <v>0</v>
      </c>
      <c r="J91" s="172">
        <v>0</v>
      </c>
      <c r="K91" s="172">
        <v>0</v>
      </c>
      <c r="L91" s="214"/>
      <c r="M91" s="207"/>
      <c r="N91" s="169">
        <v>100</v>
      </c>
      <c r="O91" s="169">
        <v>100</v>
      </c>
      <c r="P91" s="169">
        <v>0</v>
      </c>
      <c r="Q91" s="185"/>
      <c r="R91" s="5"/>
    </row>
    <row r="92" spans="1:18" ht="27" customHeight="1">
      <c r="A92" s="205" t="s">
        <v>191</v>
      </c>
      <c r="B92" s="208" t="s">
        <v>166</v>
      </c>
      <c r="C92" s="211" t="s">
        <v>45</v>
      </c>
      <c r="D92" s="211" t="s">
        <v>122</v>
      </c>
      <c r="E92" s="151">
        <v>2021</v>
      </c>
      <c r="F92" s="172">
        <f t="shared" si="4"/>
        <v>3960869.1</v>
      </c>
      <c r="G92" s="172"/>
      <c r="H92" s="172"/>
      <c r="I92" s="172">
        <v>3960869.1</v>
      </c>
      <c r="J92" s="172">
        <v>0</v>
      </c>
      <c r="K92" s="172">
        <v>0</v>
      </c>
      <c r="L92" s="217" t="s">
        <v>192</v>
      </c>
      <c r="M92" s="215" t="s">
        <v>36</v>
      </c>
      <c r="N92" s="148"/>
      <c r="O92" s="148"/>
      <c r="P92" s="173">
        <v>100</v>
      </c>
      <c r="Q92" s="185"/>
      <c r="R92" s="5"/>
    </row>
    <row r="93" spans="1:18" ht="25.5" customHeight="1">
      <c r="A93" s="206"/>
      <c r="B93" s="213"/>
      <c r="C93" s="206"/>
      <c r="D93" s="206"/>
      <c r="E93" s="151">
        <v>2022</v>
      </c>
      <c r="F93" s="172">
        <f t="shared" si="4"/>
        <v>1440000</v>
      </c>
      <c r="G93" s="172"/>
      <c r="H93" s="172"/>
      <c r="I93" s="172">
        <v>1440000</v>
      </c>
      <c r="J93" s="172">
        <v>0</v>
      </c>
      <c r="K93" s="172">
        <v>0</v>
      </c>
      <c r="L93" s="213"/>
      <c r="M93" s="206"/>
      <c r="N93" s="148"/>
      <c r="O93" s="148"/>
      <c r="P93" s="173">
        <v>100</v>
      </c>
      <c r="Q93" s="185">
        <v>13060</v>
      </c>
      <c r="R93" s="5"/>
    </row>
    <row r="94" spans="1:18" ht="26.25" customHeight="1">
      <c r="A94" s="206"/>
      <c r="B94" s="213"/>
      <c r="C94" s="206"/>
      <c r="D94" s="206"/>
      <c r="E94" s="151">
        <v>2023</v>
      </c>
      <c r="F94" s="172">
        <f t="shared" si="4"/>
        <v>0</v>
      </c>
      <c r="G94" s="172"/>
      <c r="H94" s="172"/>
      <c r="I94" s="172">
        <v>0</v>
      </c>
      <c r="J94" s="172">
        <v>0</v>
      </c>
      <c r="K94" s="172">
        <v>0</v>
      </c>
      <c r="L94" s="213"/>
      <c r="M94" s="206"/>
      <c r="N94" s="148"/>
      <c r="O94" s="148"/>
      <c r="P94" s="173">
        <v>0</v>
      </c>
      <c r="Q94" s="185"/>
      <c r="R94" s="5"/>
    </row>
    <row r="95" spans="1:18" ht="23.25" customHeight="1">
      <c r="A95" s="207"/>
      <c r="B95" s="214"/>
      <c r="C95" s="207"/>
      <c r="D95" s="207"/>
      <c r="E95" s="151">
        <v>2024</v>
      </c>
      <c r="F95" s="172">
        <f t="shared" si="4"/>
        <v>0</v>
      </c>
      <c r="G95" s="172"/>
      <c r="H95" s="172"/>
      <c r="I95" s="172">
        <v>0</v>
      </c>
      <c r="J95" s="172">
        <v>0</v>
      </c>
      <c r="K95" s="172">
        <v>0</v>
      </c>
      <c r="L95" s="214"/>
      <c r="M95" s="207"/>
      <c r="N95" s="169">
        <v>100</v>
      </c>
      <c r="O95" s="169">
        <v>100</v>
      </c>
      <c r="P95" s="169">
        <v>0</v>
      </c>
      <c r="Q95" s="185"/>
      <c r="R95" s="5"/>
    </row>
    <row r="96" spans="1:18" ht="26.25" customHeight="1">
      <c r="A96" s="205" t="s">
        <v>196</v>
      </c>
      <c r="B96" s="208" t="s">
        <v>239</v>
      </c>
      <c r="C96" s="211" t="s">
        <v>45</v>
      </c>
      <c r="D96" s="211" t="s">
        <v>122</v>
      </c>
      <c r="E96" s="151">
        <v>2021</v>
      </c>
      <c r="F96" s="172">
        <f t="shared" si="4"/>
        <v>4676701</v>
      </c>
      <c r="G96" s="172"/>
      <c r="H96" s="172"/>
      <c r="I96" s="172">
        <v>1622816</v>
      </c>
      <c r="J96" s="172">
        <v>3053885</v>
      </c>
      <c r="K96" s="172">
        <v>0</v>
      </c>
      <c r="L96" s="217" t="s">
        <v>200</v>
      </c>
      <c r="M96" s="215" t="s">
        <v>36</v>
      </c>
      <c r="N96" s="148"/>
      <c r="O96" s="148"/>
      <c r="P96" s="173">
        <v>100</v>
      </c>
      <c r="Q96" s="185"/>
      <c r="R96" s="5"/>
    </row>
    <row r="97" spans="1:18" ht="25.5" customHeight="1">
      <c r="A97" s="206"/>
      <c r="B97" s="213"/>
      <c r="C97" s="206"/>
      <c r="D97" s="206"/>
      <c r="E97" s="151">
        <v>2022</v>
      </c>
      <c r="F97" s="172">
        <f t="shared" si="4"/>
        <v>0</v>
      </c>
      <c r="G97" s="172"/>
      <c r="H97" s="172"/>
      <c r="I97" s="172">
        <v>0</v>
      </c>
      <c r="J97" s="172">
        <v>0</v>
      </c>
      <c r="K97" s="172">
        <v>0</v>
      </c>
      <c r="L97" s="213"/>
      <c r="M97" s="206"/>
      <c r="N97" s="148"/>
      <c r="O97" s="148"/>
      <c r="P97" s="173">
        <v>0</v>
      </c>
      <c r="Q97" s="185"/>
      <c r="R97" s="5"/>
    </row>
    <row r="98" spans="1:18" ht="30" customHeight="1">
      <c r="A98" s="206"/>
      <c r="B98" s="213"/>
      <c r="C98" s="206"/>
      <c r="D98" s="206"/>
      <c r="E98" s="151">
        <v>2023</v>
      </c>
      <c r="F98" s="172">
        <f t="shared" si="4"/>
        <v>0</v>
      </c>
      <c r="G98" s="172"/>
      <c r="H98" s="172"/>
      <c r="I98" s="172">
        <v>0</v>
      </c>
      <c r="J98" s="172">
        <v>0</v>
      </c>
      <c r="K98" s="172">
        <v>0</v>
      </c>
      <c r="L98" s="213"/>
      <c r="M98" s="206"/>
      <c r="N98" s="148"/>
      <c r="O98" s="148"/>
      <c r="P98" s="173">
        <v>0</v>
      </c>
      <c r="Q98" s="185" t="s">
        <v>129</v>
      </c>
      <c r="R98" s="5"/>
    </row>
    <row r="99" spans="1:18" ht="28.5" customHeight="1">
      <c r="A99" s="207"/>
      <c r="B99" s="214"/>
      <c r="C99" s="207"/>
      <c r="D99" s="207"/>
      <c r="E99" s="151">
        <v>2024</v>
      </c>
      <c r="F99" s="172">
        <f t="shared" si="4"/>
        <v>0</v>
      </c>
      <c r="G99" s="172"/>
      <c r="H99" s="172"/>
      <c r="I99" s="172">
        <v>0</v>
      </c>
      <c r="J99" s="172">
        <v>0</v>
      </c>
      <c r="K99" s="172">
        <v>0</v>
      </c>
      <c r="L99" s="214"/>
      <c r="M99" s="207"/>
      <c r="N99" s="169">
        <v>100</v>
      </c>
      <c r="O99" s="169">
        <v>100</v>
      </c>
      <c r="P99" s="169">
        <v>0</v>
      </c>
      <c r="Q99" s="185"/>
      <c r="R99" s="5"/>
    </row>
    <row r="100" spans="1:18" ht="28.5" customHeight="1" hidden="1">
      <c r="A100" s="205" t="s">
        <v>199</v>
      </c>
      <c r="B100" s="208" t="s">
        <v>134</v>
      </c>
      <c r="C100" s="211" t="s">
        <v>45</v>
      </c>
      <c r="D100" s="211" t="s">
        <v>122</v>
      </c>
      <c r="E100" s="151">
        <v>2021</v>
      </c>
      <c r="F100" s="172">
        <f t="shared" si="4"/>
        <v>0</v>
      </c>
      <c r="G100" s="172"/>
      <c r="H100" s="172"/>
      <c r="I100" s="172">
        <v>0</v>
      </c>
      <c r="J100" s="172">
        <v>0</v>
      </c>
      <c r="K100" s="172">
        <v>0</v>
      </c>
      <c r="L100" s="217" t="s">
        <v>179</v>
      </c>
      <c r="M100" s="215" t="s">
        <v>198</v>
      </c>
      <c r="N100" s="148"/>
      <c r="O100" s="148"/>
      <c r="P100" s="173">
        <v>0</v>
      </c>
      <c r="Q100" s="185"/>
      <c r="R100" s="5"/>
    </row>
    <row r="101" spans="1:18" ht="28.5" customHeight="1" hidden="1">
      <c r="A101" s="206"/>
      <c r="B101" s="213"/>
      <c r="C101" s="206"/>
      <c r="D101" s="206"/>
      <c r="E101" s="151">
        <v>2022</v>
      </c>
      <c r="F101" s="172">
        <f t="shared" si="4"/>
        <v>0</v>
      </c>
      <c r="G101" s="172"/>
      <c r="H101" s="172"/>
      <c r="I101" s="172">
        <v>0</v>
      </c>
      <c r="J101" s="172">
        <v>0</v>
      </c>
      <c r="K101" s="172">
        <v>0</v>
      </c>
      <c r="L101" s="213"/>
      <c r="M101" s="206"/>
      <c r="N101" s="148"/>
      <c r="O101" s="148"/>
      <c r="P101" s="173">
        <v>0</v>
      </c>
      <c r="Q101" s="185"/>
      <c r="R101" s="5"/>
    </row>
    <row r="102" spans="1:18" ht="28.5" customHeight="1" hidden="1">
      <c r="A102" s="206"/>
      <c r="B102" s="213"/>
      <c r="C102" s="206"/>
      <c r="D102" s="206"/>
      <c r="E102" s="151">
        <v>2023</v>
      </c>
      <c r="F102" s="172">
        <f t="shared" si="4"/>
        <v>0</v>
      </c>
      <c r="G102" s="172"/>
      <c r="H102" s="172"/>
      <c r="I102" s="172">
        <v>0</v>
      </c>
      <c r="J102" s="172">
        <v>0</v>
      </c>
      <c r="K102" s="172">
        <v>0</v>
      </c>
      <c r="L102" s="213"/>
      <c r="M102" s="206"/>
      <c r="N102" s="148"/>
      <c r="O102" s="148"/>
      <c r="P102" s="173">
        <v>0</v>
      </c>
      <c r="Q102" s="185">
        <v>71100</v>
      </c>
      <c r="R102" s="5"/>
    </row>
    <row r="103" spans="1:18" ht="28.5" customHeight="1" hidden="1">
      <c r="A103" s="207"/>
      <c r="B103" s="214"/>
      <c r="C103" s="207"/>
      <c r="D103" s="207"/>
      <c r="E103" s="151">
        <v>2024</v>
      </c>
      <c r="F103" s="172">
        <f t="shared" si="4"/>
        <v>0</v>
      </c>
      <c r="G103" s="172"/>
      <c r="H103" s="172"/>
      <c r="I103" s="172">
        <v>0</v>
      </c>
      <c r="J103" s="172">
        <v>0</v>
      </c>
      <c r="K103" s="172">
        <v>0</v>
      </c>
      <c r="L103" s="214"/>
      <c r="M103" s="207"/>
      <c r="N103" s="169">
        <v>100</v>
      </c>
      <c r="O103" s="169">
        <v>100</v>
      </c>
      <c r="P103" s="169">
        <v>0</v>
      </c>
      <c r="Q103" s="185"/>
      <c r="R103" s="5"/>
    </row>
    <row r="104" spans="1:16" ht="22.5" customHeight="1">
      <c r="A104" s="276" t="s">
        <v>2</v>
      </c>
      <c r="B104" s="278" t="s">
        <v>84</v>
      </c>
      <c r="C104" s="280" t="s">
        <v>73</v>
      </c>
      <c r="D104" s="280" t="s">
        <v>122</v>
      </c>
      <c r="E104" s="150">
        <v>2021</v>
      </c>
      <c r="F104" s="3">
        <f>I104+J104+K104</f>
        <v>59808792.21</v>
      </c>
      <c r="G104" s="3" t="e">
        <f>G107+#REF!</f>
        <v>#REF!</v>
      </c>
      <c r="H104" s="3" t="e">
        <f>H107+#REF!</f>
        <v>#REF!</v>
      </c>
      <c r="I104" s="3">
        <f>I108+I112+I116+I124+I120</f>
        <v>59808792.21</v>
      </c>
      <c r="J104" s="3">
        <f aca="true" t="shared" si="5" ref="J104:K107">J108+J112+J116+J124</f>
        <v>0</v>
      </c>
      <c r="K104" s="3">
        <f t="shared" si="5"/>
        <v>0</v>
      </c>
      <c r="L104" s="212" t="s">
        <v>65</v>
      </c>
      <c r="M104" s="215" t="s">
        <v>115</v>
      </c>
      <c r="N104" s="128">
        <f>N111</f>
        <v>1550</v>
      </c>
      <c r="O104" s="128">
        <f>O111</f>
        <v>1700</v>
      </c>
      <c r="P104" s="173">
        <v>199323</v>
      </c>
    </row>
    <row r="105" spans="1:16" ht="25.5" customHeight="1">
      <c r="A105" s="277"/>
      <c r="B105" s="279"/>
      <c r="C105" s="281"/>
      <c r="D105" s="281"/>
      <c r="E105" s="150">
        <v>2022</v>
      </c>
      <c r="F105" s="3">
        <f aca="true" t="shared" si="6" ref="F105:F139">I105+J105+K105</f>
        <v>61372586.43</v>
      </c>
      <c r="G105" s="3"/>
      <c r="H105" s="3"/>
      <c r="I105" s="3">
        <f>I109+I113+I117+I125+I121</f>
        <v>61372586.43</v>
      </c>
      <c r="J105" s="3">
        <f t="shared" si="5"/>
        <v>0</v>
      </c>
      <c r="K105" s="3">
        <f t="shared" si="5"/>
        <v>0</v>
      </c>
      <c r="L105" s="248"/>
      <c r="M105" s="250"/>
      <c r="N105" s="128"/>
      <c r="O105" s="128"/>
      <c r="P105" s="173">
        <v>199323</v>
      </c>
    </row>
    <row r="106" spans="1:16" ht="23.25" customHeight="1">
      <c r="A106" s="277"/>
      <c r="B106" s="279"/>
      <c r="C106" s="281"/>
      <c r="D106" s="281"/>
      <c r="E106" s="150">
        <v>2023</v>
      </c>
      <c r="F106" s="3">
        <f t="shared" si="6"/>
        <v>61394905.43</v>
      </c>
      <c r="G106" s="3"/>
      <c r="H106" s="3"/>
      <c r="I106" s="3">
        <f>I110+I114+I118+I126+I122</f>
        <v>61394905.43</v>
      </c>
      <c r="J106" s="3">
        <f t="shared" si="5"/>
        <v>0</v>
      </c>
      <c r="K106" s="3">
        <f t="shared" si="5"/>
        <v>0</v>
      </c>
      <c r="L106" s="248"/>
      <c r="M106" s="250"/>
      <c r="N106" s="128"/>
      <c r="O106" s="128"/>
      <c r="P106" s="173">
        <v>199323</v>
      </c>
    </row>
    <row r="107" spans="1:16" ht="23.25" customHeight="1">
      <c r="A107" s="277"/>
      <c r="B107" s="279"/>
      <c r="C107" s="281"/>
      <c r="D107" s="281"/>
      <c r="E107" s="156">
        <v>2024</v>
      </c>
      <c r="F107" s="149">
        <f t="shared" si="6"/>
        <v>65227414.50999999</v>
      </c>
      <c r="G107" s="149"/>
      <c r="H107" s="149"/>
      <c r="I107" s="3">
        <f>I111+I115+I119+I127+I123</f>
        <v>65227414.50999999</v>
      </c>
      <c r="J107" s="3">
        <f t="shared" si="5"/>
        <v>0</v>
      </c>
      <c r="K107" s="3">
        <f t="shared" si="5"/>
        <v>0</v>
      </c>
      <c r="L107" s="248"/>
      <c r="M107" s="250"/>
      <c r="N107" s="157" t="e">
        <f>#REF!</f>
        <v>#REF!</v>
      </c>
      <c r="O107" s="157" t="e">
        <f>#REF!</f>
        <v>#REF!</v>
      </c>
      <c r="P107" s="173">
        <v>199323</v>
      </c>
    </row>
    <row r="108" spans="1:17" ht="23.25" customHeight="1">
      <c r="A108" s="205" t="s">
        <v>51</v>
      </c>
      <c r="B108" s="288" t="s">
        <v>14</v>
      </c>
      <c r="C108" s="211" t="s">
        <v>73</v>
      </c>
      <c r="D108" s="211" t="s">
        <v>122</v>
      </c>
      <c r="E108" s="151">
        <v>2021</v>
      </c>
      <c r="F108" s="126">
        <f t="shared" si="6"/>
        <v>23698828.61</v>
      </c>
      <c r="G108" s="3"/>
      <c r="H108" s="3"/>
      <c r="I108" s="126">
        <v>23698828.61</v>
      </c>
      <c r="J108" s="126">
        <v>0</v>
      </c>
      <c r="K108" s="126">
        <v>0</v>
      </c>
      <c r="L108" s="212" t="s">
        <v>110</v>
      </c>
      <c r="M108" s="215" t="s">
        <v>36</v>
      </c>
      <c r="N108" s="168"/>
      <c r="O108" s="168"/>
      <c r="P108" s="158">
        <v>100</v>
      </c>
      <c r="Q108" s="286">
        <v>23060</v>
      </c>
    </row>
    <row r="109" spans="1:17" ht="23.25" customHeight="1">
      <c r="A109" s="206"/>
      <c r="B109" s="209"/>
      <c r="C109" s="206"/>
      <c r="D109" s="206"/>
      <c r="E109" s="151">
        <v>2022</v>
      </c>
      <c r="F109" s="126">
        <f t="shared" si="6"/>
        <v>61132586.43</v>
      </c>
      <c r="G109" s="3"/>
      <c r="H109" s="3"/>
      <c r="I109" s="126">
        <f>15226283.61+27419871.6+4635287.28+8219927.05+2350976.42+3280240.47</f>
        <v>61132586.43</v>
      </c>
      <c r="J109" s="126">
        <v>0</v>
      </c>
      <c r="K109" s="126">
        <v>0</v>
      </c>
      <c r="L109" s="213"/>
      <c r="M109" s="206"/>
      <c r="N109" s="168"/>
      <c r="O109" s="168"/>
      <c r="P109" s="158">
        <v>100</v>
      </c>
      <c r="Q109" s="231"/>
    </row>
    <row r="110" spans="1:17" ht="23.25" customHeight="1">
      <c r="A110" s="206"/>
      <c r="B110" s="209"/>
      <c r="C110" s="206"/>
      <c r="D110" s="206"/>
      <c r="E110" s="151">
        <v>2023</v>
      </c>
      <c r="F110" s="126">
        <f t="shared" si="6"/>
        <v>61394905.43</v>
      </c>
      <c r="G110" s="3"/>
      <c r="H110" s="3"/>
      <c r="I110" s="126">
        <f>15488602.61+27419871.6+4635287.28+8219927.05+2350976.42+3280240.47</f>
        <v>61394905.43</v>
      </c>
      <c r="J110" s="126">
        <v>0</v>
      </c>
      <c r="K110" s="126">
        <v>0</v>
      </c>
      <c r="L110" s="213"/>
      <c r="M110" s="206"/>
      <c r="N110" s="168"/>
      <c r="O110" s="168"/>
      <c r="P110" s="158">
        <v>100</v>
      </c>
      <c r="Q110" s="231"/>
    </row>
    <row r="111" spans="1:17" ht="27" customHeight="1">
      <c r="A111" s="207"/>
      <c r="B111" s="210"/>
      <c r="C111" s="207"/>
      <c r="D111" s="207"/>
      <c r="E111" s="151">
        <v>2024</v>
      </c>
      <c r="F111" s="126">
        <f t="shared" si="6"/>
        <v>65227414.50999999</v>
      </c>
      <c r="G111" s="126"/>
      <c r="H111" s="126"/>
      <c r="I111" s="126">
        <f>16651830.55+29123282.83+5028852.83+8792231.41+2350976.42+3280240.47</f>
        <v>65227414.50999999</v>
      </c>
      <c r="J111" s="126">
        <v>0</v>
      </c>
      <c r="K111" s="126">
        <v>0</v>
      </c>
      <c r="L111" s="214"/>
      <c r="M111" s="207"/>
      <c r="N111" s="169">
        <v>1550</v>
      </c>
      <c r="O111" s="169">
        <v>1700</v>
      </c>
      <c r="P111" s="158">
        <v>100</v>
      </c>
      <c r="Q111" s="231"/>
    </row>
    <row r="112" spans="1:17" ht="27" customHeight="1">
      <c r="A112" s="205" t="s">
        <v>52</v>
      </c>
      <c r="B112" s="208" t="s">
        <v>240</v>
      </c>
      <c r="C112" s="211" t="s">
        <v>73</v>
      </c>
      <c r="D112" s="211" t="s">
        <v>122</v>
      </c>
      <c r="E112" s="151">
        <v>2021</v>
      </c>
      <c r="F112" s="125">
        <f t="shared" si="6"/>
        <v>34958008.25</v>
      </c>
      <c r="G112" s="126"/>
      <c r="H112" s="126"/>
      <c r="I112" s="126">
        <v>34958008.25</v>
      </c>
      <c r="J112" s="126">
        <v>0</v>
      </c>
      <c r="K112" s="126">
        <v>0</v>
      </c>
      <c r="L112" s="212" t="s">
        <v>156</v>
      </c>
      <c r="M112" s="215" t="s">
        <v>36</v>
      </c>
      <c r="N112" s="131"/>
      <c r="O112" s="131"/>
      <c r="P112" s="132">
        <v>100</v>
      </c>
      <c r="Q112" s="287" t="s">
        <v>137</v>
      </c>
    </row>
    <row r="113" spans="1:17" ht="27" customHeight="1">
      <c r="A113" s="206"/>
      <c r="B113" s="209"/>
      <c r="C113" s="206"/>
      <c r="D113" s="206"/>
      <c r="E113" s="151">
        <v>2022</v>
      </c>
      <c r="F113" s="125">
        <f t="shared" si="6"/>
        <v>0</v>
      </c>
      <c r="G113" s="126"/>
      <c r="H113" s="126"/>
      <c r="I113" s="126">
        <v>0</v>
      </c>
      <c r="J113" s="126">
        <v>0</v>
      </c>
      <c r="K113" s="126">
        <v>0</v>
      </c>
      <c r="L113" s="213"/>
      <c r="M113" s="206"/>
      <c r="N113" s="131"/>
      <c r="O113" s="131"/>
      <c r="P113" s="132">
        <v>0</v>
      </c>
      <c r="Q113" s="231"/>
    </row>
    <row r="114" spans="1:17" ht="27" customHeight="1">
      <c r="A114" s="206"/>
      <c r="B114" s="209"/>
      <c r="C114" s="206"/>
      <c r="D114" s="206"/>
      <c r="E114" s="151">
        <v>2023</v>
      </c>
      <c r="F114" s="125">
        <f t="shared" si="6"/>
        <v>0</v>
      </c>
      <c r="G114" s="126"/>
      <c r="H114" s="126"/>
      <c r="I114" s="126">
        <v>0</v>
      </c>
      <c r="J114" s="126">
        <v>0</v>
      </c>
      <c r="K114" s="126">
        <v>0</v>
      </c>
      <c r="L114" s="213"/>
      <c r="M114" s="206"/>
      <c r="N114" s="131"/>
      <c r="O114" s="131"/>
      <c r="P114" s="132">
        <v>0</v>
      </c>
      <c r="Q114" s="231"/>
    </row>
    <row r="115" spans="1:17" ht="27" customHeight="1">
      <c r="A115" s="207"/>
      <c r="B115" s="210"/>
      <c r="C115" s="207"/>
      <c r="D115" s="207"/>
      <c r="E115" s="151">
        <v>2024</v>
      </c>
      <c r="F115" s="125">
        <f t="shared" si="6"/>
        <v>0</v>
      </c>
      <c r="G115" s="126"/>
      <c r="H115" s="126"/>
      <c r="I115" s="126">
        <v>0</v>
      </c>
      <c r="J115" s="126">
        <v>0</v>
      </c>
      <c r="K115" s="126">
        <v>0</v>
      </c>
      <c r="L115" s="214"/>
      <c r="M115" s="207"/>
      <c r="N115" s="131"/>
      <c r="O115" s="131"/>
      <c r="P115" s="132">
        <v>0</v>
      </c>
      <c r="Q115" s="231"/>
    </row>
    <row r="116" spans="1:17" ht="27" customHeight="1">
      <c r="A116" s="205" t="s">
        <v>201</v>
      </c>
      <c r="B116" s="208" t="s">
        <v>166</v>
      </c>
      <c r="C116" s="211" t="s">
        <v>73</v>
      </c>
      <c r="D116" s="211" t="s">
        <v>122</v>
      </c>
      <c r="E116" s="151">
        <v>2021</v>
      </c>
      <c r="F116" s="125">
        <f t="shared" si="6"/>
        <v>785087.15</v>
      </c>
      <c r="G116" s="126"/>
      <c r="H116" s="126"/>
      <c r="I116" s="126">
        <v>785087.15</v>
      </c>
      <c r="J116" s="126">
        <v>0</v>
      </c>
      <c r="K116" s="126">
        <v>0</v>
      </c>
      <c r="L116" s="212" t="s">
        <v>202</v>
      </c>
      <c r="M116" s="215" t="s">
        <v>36</v>
      </c>
      <c r="N116" s="131"/>
      <c r="O116" s="131"/>
      <c r="P116" s="132">
        <v>100</v>
      </c>
      <c r="Q116" s="185"/>
    </row>
    <row r="117" spans="1:17" ht="27" customHeight="1">
      <c r="A117" s="206"/>
      <c r="B117" s="209"/>
      <c r="C117" s="206"/>
      <c r="D117" s="206"/>
      <c r="E117" s="151">
        <v>2022</v>
      </c>
      <c r="F117" s="125">
        <f t="shared" si="6"/>
        <v>240000</v>
      </c>
      <c r="G117" s="126"/>
      <c r="H117" s="126"/>
      <c r="I117" s="126">
        <v>240000</v>
      </c>
      <c r="J117" s="126">
        <v>0</v>
      </c>
      <c r="K117" s="126">
        <v>0</v>
      </c>
      <c r="L117" s="213"/>
      <c r="M117" s="206"/>
      <c r="N117" s="131"/>
      <c r="O117" s="131"/>
      <c r="P117" s="132">
        <v>0</v>
      </c>
      <c r="Q117" s="185"/>
    </row>
    <row r="118" spans="1:17" ht="27" customHeight="1">
      <c r="A118" s="206"/>
      <c r="B118" s="209"/>
      <c r="C118" s="206"/>
      <c r="D118" s="206"/>
      <c r="E118" s="151">
        <v>2023</v>
      </c>
      <c r="F118" s="125">
        <f t="shared" si="6"/>
        <v>0</v>
      </c>
      <c r="G118" s="126"/>
      <c r="H118" s="126"/>
      <c r="I118" s="126">
        <v>0</v>
      </c>
      <c r="J118" s="126">
        <v>0</v>
      </c>
      <c r="K118" s="126">
        <v>0</v>
      </c>
      <c r="L118" s="213"/>
      <c r="M118" s="206"/>
      <c r="N118" s="131"/>
      <c r="O118" s="131"/>
      <c r="P118" s="132">
        <v>0</v>
      </c>
      <c r="Q118" s="185">
        <v>13060</v>
      </c>
    </row>
    <row r="119" spans="1:17" ht="27" customHeight="1">
      <c r="A119" s="207"/>
      <c r="B119" s="210"/>
      <c r="C119" s="207"/>
      <c r="D119" s="207"/>
      <c r="E119" s="151">
        <v>2024</v>
      </c>
      <c r="F119" s="125">
        <f t="shared" si="6"/>
        <v>0</v>
      </c>
      <c r="G119" s="126"/>
      <c r="H119" s="126"/>
      <c r="I119" s="126">
        <v>0</v>
      </c>
      <c r="J119" s="126">
        <v>0</v>
      </c>
      <c r="K119" s="126">
        <v>0</v>
      </c>
      <c r="L119" s="214"/>
      <c r="M119" s="207"/>
      <c r="N119" s="131"/>
      <c r="O119" s="131"/>
      <c r="P119" s="132">
        <v>0</v>
      </c>
      <c r="Q119" s="185"/>
    </row>
    <row r="120" spans="1:17" ht="27" customHeight="1">
      <c r="A120" s="205" t="s">
        <v>203</v>
      </c>
      <c r="B120" s="208" t="s">
        <v>172</v>
      </c>
      <c r="C120" s="211" t="s">
        <v>73</v>
      </c>
      <c r="D120" s="211" t="s">
        <v>122</v>
      </c>
      <c r="E120" s="151">
        <v>2021</v>
      </c>
      <c r="F120" s="125">
        <f t="shared" si="6"/>
        <v>115193.32</v>
      </c>
      <c r="G120" s="126"/>
      <c r="H120" s="126"/>
      <c r="I120" s="126">
        <v>115193.32</v>
      </c>
      <c r="J120" s="126">
        <v>0</v>
      </c>
      <c r="K120" s="126">
        <v>0</v>
      </c>
      <c r="L120" s="212" t="s">
        <v>205</v>
      </c>
      <c r="M120" s="215" t="s">
        <v>36</v>
      </c>
      <c r="N120" s="131"/>
      <c r="O120" s="131"/>
      <c r="P120" s="132">
        <v>100</v>
      </c>
      <c r="Q120" s="185"/>
    </row>
    <row r="121" spans="1:17" ht="27" customHeight="1">
      <c r="A121" s="206"/>
      <c r="B121" s="209"/>
      <c r="C121" s="206"/>
      <c r="D121" s="206"/>
      <c r="E121" s="151">
        <v>2022</v>
      </c>
      <c r="F121" s="125">
        <f t="shared" si="6"/>
        <v>0</v>
      </c>
      <c r="G121" s="126"/>
      <c r="H121" s="126"/>
      <c r="I121" s="126">
        <v>0</v>
      </c>
      <c r="J121" s="126">
        <v>0</v>
      </c>
      <c r="K121" s="126">
        <v>0</v>
      </c>
      <c r="L121" s="213"/>
      <c r="M121" s="206"/>
      <c r="N121" s="131"/>
      <c r="O121" s="131"/>
      <c r="P121" s="132">
        <v>0</v>
      </c>
      <c r="Q121" s="185">
        <v>90230</v>
      </c>
    </row>
    <row r="122" spans="1:17" ht="27" customHeight="1">
      <c r="A122" s="206"/>
      <c r="B122" s="209"/>
      <c r="C122" s="206"/>
      <c r="D122" s="206"/>
      <c r="E122" s="151">
        <v>2023</v>
      </c>
      <c r="F122" s="125">
        <f t="shared" si="6"/>
        <v>0</v>
      </c>
      <c r="G122" s="126"/>
      <c r="H122" s="126"/>
      <c r="I122" s="126">
        <v>0</v>
      </c>
      <c r="J122" s="126">
        <v>0</v>
      </c>
      <c r="K122" s="126">
        <v>0</v>
      </c>
      <c r="L122" s="213"/>
      <c r="M122" s="206"/>
      <c r="N122" s="131"/>
      <c r="O122" s="131"/>
      <c r="P122" s="132">
        <v>0</v>
      </c>
      <c r="Q122" s="185"/>
    </row>
    <row r="123" spans="1:17" ht="27" customHeight="1">
      <c r="A123" s="207"/>
      <c r="B123" s="210"/>
      <c r="C123" s="207"/>
      <c r="D123" s="207"/>
      <c r="E123" s="151">
        <v>2024</v>
      </c>
      <c r="F123" s="125">
        <f t="shared" si="6"/>
        <v>0</v>
      </c>
      <c r="G123" s="126"/>
      <c r="H123" s="126"/>
      <c r="I123" s="126">
        <v>0</v>
      </c>
      <c r="J123" s="126">
        <v>0</v>
      </c>
      <c r="K123" s="126">
        <v>0</v>
      </c>
      <c r="L123" s="214"/>
      <c r="M123" s="207"/>
      <c r="N123" s="131"/>
      <c r="O123" s="131"/>
      <c r="P123" s="132">
        <v>0</v>
      </c>
      <c r="Q123" s="185"/>
    </row>
    <row r="124" spans="1:17" ht="27" customHeight="1">
      <c r="A124" s="205" t="s">
        <v>224</v>
      </c>
      <c r="B124" s="208" t="s">
        <v>204</v>
      </c>
      <c r="C124" s="211" t="s">
        <v>73</v>
      </c>
      <c r="D124" s="211" t="s">
        <v>122</v>
      </c>
      <c r="E124" s="151">
        <v>2021</v>
      </c>
      <c r="F124" s="125">
        <f t="shared" si="6"/>
        <v>251674.88</v>
      </c>
      <c r="G124" s="126"/>
      <c r="H124" s="126"/>
      <c r="I124" s="126">
        <v>251674.88</v>
      </c>
      <c r="J124" s="126">
        <v>0</v>
      </c>
      <c r="K124" s="126">
        <v>0</v>
      </c>
      <c r="L124" s="212" t="s">
        <v>223</v>
      </c>
      <c r="M124" s="215" t="s">
        <v>36</v>
      </c>
      <c r="N124" s="131"/>
      <c r="O124" s="131"/>
      <c r="P124" s="132">
        <v>100</v>
      </c>
      <c r="Q124" s="185"/>
    </row>
    <row r="125" spans="1:17" ht="27" customHeight="1">
      <c r="A125" s="206"/>
      <c r="B125" s="209"/>
      <c r="C125" s="206"/>
      <c r="D125" s="206"/>
      <c r="E125" s="151">
        <v>2022</v>
      </c>
      <c r="F125" s="125">
        <f t="shared" si="6"/>
        <v>0</v>
      </c>
      <c r="G125" s="126"/>
      <c r="H125" s="126"/>
      <c r="I125" s="126">
        <v>0</v>
      </c>
      <c r="J125" s="126">
        <v>0</v>
      </c>
      <c r="K125" s="126">
        <v>0</v>
      </c>
      <c r="L125" s="213"/>
      <c r="M125" s="206"/>
      <c r="N125" s="131"/>
      <c r="O125" s="131"/>
      <c r="P125" s="132">
        <v>0</v>
      </c>
      <c r="Q125" s="185">
        <v>90220</v>
      </c>
    </row>
    <row r="126" spans="1:17" ht="27" customHeight="1">
      <c r="A126" s="206"/>
      <c r="B126" s="209"/>
      <c r="C126" s="206"/>
      <c r="D126" s="206"/>
      <c r="E126" s="151">
        <v>2023</v>
      </c>
      <c r="F126" s="125">
        <f t="shared" si="6"/>
        <v>0</v>
      </c>
      <c r="G126" s="126"/>
      <c r="H126" s="126"/>
      <c r="I126" s="126">
        <v>0</v>
      </c>
      <c r="J126" s="126">
        <v>0</v>
      </c>
      <c r="K126" s="126">
        <v>0</v>
      </c>
      <c r="L126" s="213"/>
      <c r="M126" s="206"/>
      <c r="N126" s="131"/>
      <c r="O126" s="131"/>
      <c r="P126" s="132">
        <v>0</v>
      </c>
      <c r="Q126" s="185"/>
    </row>
    <row r="127" spans="1:17" ht="27" customHeight="1">
      <c r="A127" s="207"/>
      <c r="B127" s="210"/>
      <c r="C127" s="207"/>
      <c r="D127" s="207"/>
      <c r="E127" s="151">
        <v>2024</v>
      </c>
      <c r="F127" s="125">
        <f t="shared" si="6"/>
        <v>0</v>
      </c>
      <c r="G127" s="126"/>
      <c r="H127" s="126"/>
      <c r="I127" s="126">
        <v>0</v>
      </c>
      <c r="J127" s="126">
        <v>0</v>
      </c>
      <c r="K127" s="126">
        <v>0</v>
      </c>
      <c r="L127" s="214"/>
      <c r="M127" s="207"/>
      <c r="N127" s="131"/>
      <c r="O127" s="131"/>
      <c r="P127" s="132">
        <v>0</v>
      </c>
      <c r="Q127" s="185"/>
    </row>
    <row r="128" spans="1:16" ht="28.5" customHeight="1">
      <c r="A128" s="276" t="s">
        <v>3</v>
      </c>
      <c r="B128" s="278" t="s">
        <v>85</v>
      </c>
      <c r="C128" s="280" t="s">
        <v>125</v>
      </c>
      <c r="D128" s="211" t="s">
        <v>120</v>
      </c>
      <c r="E128" s="150">
        <v>2021</v>
      </c>
      <c r="F128" s="3">
        <f t="shared" si="6"/>
        <v>0</v>
      </c>
      <c r="G128" s="3">
        <f>G130+G131</f>
        <v>0</v>
      </c>
      <c r="H128" s="3">
        <f>H130+H131</f>
        <v>0</v>
      </c>
      <c r="I128" s="3">
        <f>I132</f>
        <v>0</v>
      </c>
      <c r="J128" s="3">
        <f>J132</f>
        <v>0</v>
      </c>
      <c r="K128" s="3">
        <f>K132</f>
        <v>0</v>
      </c>
      <c r="L128" s="282" t="s">
        <v>111</v>
      </c>
      <c r="M128" s="284" t="s">
        <v>36</v>
      </c>
      <c r="N128" s="176"/>
      <c r="O128" s="145"/>
      <c r="P128" s="159">
        <v>0</v>
      </c>
    </row>
    <row r="129" spans="1:16" ht="23.25" customHeight="1">
      <c r="A129" s="277"/>
      <c r="B129" s="279"/>
      <c r="C129" s="281"/>
      <c r="D129" s="218"/>
      <c r="E129" s="150">
        <v>2022</v>
      </c>
      <c r="F129" s="3">
        <f t="shared" si="6"/>
        <v>0</v>
      </c>
      <c r="G129" s="3"/>
      <c r="H129" s="3"/>
      <c r="I129" s="3">
        <f aca="true" t="shared" si="7" ref="I129:K131">I133</f>
        <v>0</v>
      </c>
      <c r="J129" s="3">
        <f t="shared" si="7"/>
        <v>0</v>
      </c>
      <c r="K129" s="3">
        <f t="shared" si="7"/>
        <v>0</v>
      </c>
      <c r="L129" s="283"/>
      <c r="M129" s="285"/>
      <c r="N129" s="176"/>
      <c r="O129" s="145"/>
      <c r="P129" s="159">
        <v>51.8</v>
      </c>
    </row>
    <row r="130" spans="1:16" ht="27" customHeight="1">
      <c r="A130" s="272"/>
      <c r="B130" s="274"/>
      <c r="C130" s="272"/>
      <c r="D130" s="272"/>
      <c r="E130" s="150">
        <v>2023</v>
      </c>
      <c r="F130" s="3">
        <f t="shared" si="6"/>
        <v>307665.67</v>
      </c>
      <c r="G130" s="118"/>
      <c r="H130" s="118"/>
      <c r="I130" s="3">
        <f t="shared" si="7"/>
        <v>307665.67</v>
      </c>
      <c r="J130" s="3">
        <f t="shared" si="7"/>
        <v>0</v>
      </c>
      <c r="K130" s="3">
        <f t="shared" si="7"/>
        <v>0</v>
      </c>
      <c r="L130" s="274"/>
      <c r="M130" s="272"/>
      <c r="N130" s="176"/>
      <c r="O130" s="145"/>
      <c r="P130" s="159">
        <v>51.8</v>
      </c>
    </row>
    <row r="131" spans="1:16" ht="26.25" customHeight="1">
      <c r="A131" s="273"/>
      <c r="B131" s="275"/>
      <c r="C131" s="273"/>
      <c r="D131" s="273"/>
      <c r="E131" s="156">
        <v>2024</v>
      </c>
      <c r="F131" s="3">
        <f t="shared" si="6"/>
        <v>307665.67</v>
      </c>
      <c r="G131" s="3"/>
      <c r="H131" s="3"/>
      <c r="I131" s="3">
        <f t="shared" si="7"/>
        <v>307665.67</v>
      </c>
      <c r="J131" s="3">
        <f t="shared" si="7"/>
        <v>0</v>
      </c>
      <c r="K131" s="3">
        <f t="shared" si="7"/>
        <v>0</v>
      </c>
      <c r="L131" s="275"/>
      <c r="M131" s="273"/>
      <c r="N131" s="136"/>
      <c r="O131" s="136"/>
      <c r="P131" s="159">
        <v>51.8</v>
      </c>
    </row>
    <row r="132" spans="1:17" ht="26.25" customHeight="1">
      <c r="A132" s="205" t="s">
        <v>53</v>
      </c>
      <c r="B132" s="208" t="s">
        <v>212</v>
      </c>
      <c r="C132" s="211" t="s">
        <v>125</v>
      </c>
      <c r="D132" s="211" t="s">
        <v>120</v>
      </c>
      <c r="E132" s="151">
        <v>2021</v>
      </c>
      <c r="F132" s="126">
        <f t="shared" si="6"/>
        <v>0</v>
      </c>
      <c r="G132" s="3"/>
      <c r="H132" s="3"/>
      <c r="I132" s="126">
        <v>0</v>
      </c>
      <c r="J132" s="126">
        <v>0</v>
      </c>
      <c r="K132" s="126">
        <v>0</v>
      </c>
      <c r="L132" s="212" t="s">
        <v>159</v>
      </c>
      <c r="M132" s="215" t="s">
        <v>112</v>
      </c>
      <c r="N132" s="160"/>
      <c r="O132" s="160"/>
      <c r="P132" s="187">
        <v>0</v>
      </c>
      <c r="Q132" s="260">
        <v>23080</v>
      </c>
    </row>
    <row r="133" spans="1:17" ht="26.25" customHeight="1">
      <c r="A133" s="272"/>
      <c r="B133" s="274"/>
      <c r="C133" s="272"/>
      <c r="D133" s="272"/>
      <c r="E133" s="151">
        <v>2022</v>
      </c>
      <c r="F133" s="126">
        <f t="shared" si="6"/>
        <v>0</v>
      </c>
      <c r="G133" s="3"/>
      <c r="H133" s="3"/>
      <c r="I133" s="126">
        <v>0</v>
      </c>
      <c r="J133" s="126">
        <v>0</v>
      </c>
      <c r="K133" s="126">
        <v>0</v>
      </c>
      <c r="L133" s="274"/>
      <c r="M133" s="272"/>
      <c r="N133" s="160"/>
      <c r="O133" s="160"/>
      <c r="P133" s="187">
        <v>6</v>
      </c>
      <c r="Q133" s="231"/>
    </row>
    <row r="134" spans="1:17" ht="26.25" customHeight="1">
      <c r="A134" s="272"/>
      <c r="B134" s="274"/>
      <c r="C134" s="272"/>
      <c r="D134" s="272"/>
      <c r="E134" s="151">
        <v>2023</v>
      </c>
      <c r="F134" s="126">
        <f t="shared" si="6"/>
        <v>307665.67</v>
      </c>
      <c r="G134" s="3"/>
      <c r="H134" s="3"/>
      <c r="I134" s="126">
        <v>307665.67</v>
      </c>
      <c r="J134" s="126">
        <v>0</v>
      </c>
      <c r="K134" s="126">
        <v>0</v>
      </c>
      <c r="L134" s="274"/>
      <c r="M134" s="272"/>
      <c r="N134" s="160"/>
      <c r="O134" s="160"/>
      <c r="P134" s="187">
        <v>6</v>
      </c>
      <c r="Q134" s="231"/>
    </row>
    <row r="135" spans="1:17" ht="33.75" customHeight="1">
      <c r="A135" s="273"/>
      <c r="B135" s="275"/>
      <c r="C135" s="273"/>
      <c r="D135" s="273"/>
      <c r="E135" s="151">
        <v>2024</v>
      </c>
      <c r="F135" s="172">
        <f t="shared" si="6"/>
        <v>307665.67</v>
      </c>
      <c r="G135" s="172"/>
      <c r="H135" s="172"/>
      <c r="I135" s="126">
        <v>307665.67</v>
      </c>
      <c r="J135" s="172">
        <v>0</v>
      </c>
      <c r="K135" s="172">
        <v>0</v>
      </c>
      <c r="L135" s="275"/>
      <c r="M135" s="273"/>
      <c r="N135" s="143"/>
      <c r="O135" s="143"/>
      <c r="P135" s="144">
        <v>6</v>
      </c>
      <c r="Q135" s="231"/>
    </row>
    <row r="136" spans="1:17" ht="19.5" customHeight="1">
      <c r="A136" s="261" t="s">
        <v>4</v>
      </c>
      <c r="B136" s="263" t="s">
        <v>86</v>
      </c>
      <c r="C136" s="265" t="s">
        <v>74</v>
      </c>
      <c r="D136" s="265" t="s">
        <v>120</v>
      </c>
      <c r="E136" s="150">
        <v>2021</v>
      </c>
      <c r="F136" s="3">
        <f t="shared" si="6"/>
        <v>50385190.370000005</v>
      </c>
      <c r="G136" s="140"/>
      <c r="H136" s="140"/>
      <c r="I136" s="130">
        <f>I140+I144+I152+I156+I160+I164+I148</f>
        <v>18473508.37</v>
      </c>
      <c r="J136" s="130">
        <f>J140+J144+J152+J156+J160+J164+J148</f>
        <v>31911682</v>
      </c>
      <c r="K136" s="130">
        <f>K140+K144+K152+K156+K160+K164</f>
        <v>0</v>
      </c>
      <c r="L136" s="267" t="s">
        <v>162</v>
      </c>
      <c r="M136" s="270" t="s">
        <v>36</v>
      </c>
      <c r="N136" s="137"/>
      <c r="O136" s="137"/>
      <c r="P136" s="174">
        <v>93.5</v>
      </c>
      <c r="Q136" s="167"/>
    </row>
    <row r="137" spans="1:16" ht="22.5" customHeight="1">
      <c r="A137" s="262"/>
      <c r="B137" s="264"/>
      <c r="C137" s="266"/>
      <c r="D137" s="266"/>
      <c r="E137" s="150">
        <v>2022</v>
      </c>
      <c r="F137" s="3">
        <f t="shared" si="6"/>
        <v>61544623.660000004</v>
      </c>
      <c r="G137" s="147"/>
      <c r="H137" s="147"/>
      <c r="I137" s="130">
        <f>I141+I145+I153+I157+I161+I165+I149</f>
        <v>25855486.660000004</v>
      </c>
      <c r="J137" s="130">
        <f aca="true" t="shared" si="8" ref="I137:J139">J141+J145+J153+J157+J161+J165+J149</f>
        <v>35689137</v>
      </c>
      <c r="K137" s="130">
        <f>K141+K145+K153+K157+K161+K165</f>
        <v>0</v>
      </c>
      <c r="L137" s="268"/>
      <c r="M137" s="270"/>
      <c r="N137" s="138"/>
      <c r="O137" s="138"/>
      <c r="P137" s="174">
        <v>93.5</v>
      </c>
    </row>
    <row r="138" spans="1:16" ht="18.75" customHeight="1">
      <c r="A138" s="262"/>
      <c r="B138" s="264"/>
      <c r="C138" s="266"/>
      <c r="D138" s="266"/>
      <c r="E138" s="150">
        <v>2023</v>
      </c>
      <c r="F138" s="3">
        <f t="shared" si="6"/>
        <v>61625480.81</v>
      </c>
      <c r="G138" s="3"/>
      <c r="H138" s="3"/>
      <c r="I138" s="130">
        <f t="shared" si="8"/>
        <v>25672611.810000002</v>
      </c>
      <c r="J138" s="130">
        <f t="shared" si="8"/>
        <v>35952869</v>
      </c>
      <c r="K138" s="130">
        <f>K142+K146+K154+K158+K162+K166</f>
        <v>0</v>
      </c>
      <c r="L138" s="268"/>
      <c r="M138" s="270"/>
      <c r="N138" s="138"/>
      <c r="O138" s="138"/>
      <c r="P138" s="174">
        <v>93.5</v>
      </c>
    </row>
    <row r="139" spans="1:16" ht="24" customHeight="1">
      <c r="A139" s="207"/>
      <c r="B139" s="214"/>
      <c r="C139" s="207"/>
      <c r="D139" s="207"/>
      <c r="E139" s="156">
        <v>2024</v>
      </c>
      <c r="F139" s="3">
        <f t="shared" si="6"/>
        <v>62952265.5</v>
      </c>
      <c r="G139" s="3"/>
      <c r="H139" s="3"/>
      <c r="I139" s="130">
        <f t="shared" si="8"/>
        <v>25689705.500000004</v>
      </c>
      <c r="J139" s="130">
        <f t="shared" si="8"/>
        <v>37262560</v>
      </c>
      <c r="K139" s="130">
        <f>K143+K147+K155+K159+K163+K167</f>
        <v>0</v>
      </c>
      <c r="L139" s="269"/>
      <c r="M139" s="271"/>
      <c r="N139" s="142"/>
      <c r="O139" s="141"/>
      <c r="P139" s="174">
        <v>93.5</v>
      </c>
    </row>
    <row r="140" spans="1:17" ht="26.25" customHeight="1">
      <c r="A140" s="247" t="s">
        <v>56</v>
      </c>
      <c r="B140" s="257" t="s">
        <v>37</v>
      </c>
      <c r="C140" s="246" t="s">
        <v>75</v>
      </c>
      <c r="D140" s="246" t="s">
        <v>120</v>
      </c>
      <c r="E140" s="151">
        <v>2021</v>
      </c>
      <c r="F140" s="172">
        <f>I140+J140+K140</f>
        <v>10521000</v>
      </c>
      <c r="G140" s="118"/>
      <c r="H140" s="118"/>
      <c r="I140" s="172">
        <v>0</v>
      </c>
      <c r="J140" s="172">
        <v>10521000</v>
      </c>
      <c r="K140" s="172">
        <v>0</v>
      </c>
      <c r="L140" s="258" t="s">
        <v>150</v>
      </c>
      <c r="M140" s="259" t="s">
        <v>40</v>
      </c>
      <c r="N140" s="164"/>
      <c r="O140" s="164"/>
      <c r="P140" s="173">
        <v>422</v>
      </c>
      <c r="Q140" s="252" t="s">
        <v>132</v>
      </c>
    </row>
    <row r="141" spans="1:17" ht="26.25" customHeight="1">
      <c r="A141" s="247"/>
      <c r="B141" s="257"/>
      <c r="C141" s="256"/>
      <c r="D141" s="256"/>
      <c r="E141" s="151">
        <v>2022</v>
      </c>
      <c r="F141" s="172">
        <f>I141+J141+K141</f>
        <v>10925700</v>
      </c>
      <c r="G141" s="118"/>
      <c r="H141" s="118"/>
      <c r="I141" s="172">
        <v>0</v>
      </c>
      <c r="J141" s="172">
        <v>10925700</v>
      </c>
      <c r="K141" s="172">
        <v>0</v>
      </c>
      <c r="L141" s="258"/>
      <c r="M141" s="259"/>
      <c r="N141" s="164"/>
      <c r="O141" s="164"/>
      <c r="P141" s="173">
        <v>422</v>
      </c>
      <c r="Q141" s="252"/>
    </row>
    <row r="142" spans="1:17" ht="27.75" customHeight="1">
      <c r="A142" s="247"/>
      <c r="B142" s="257"/>
      <c r="C142" s="256"/>
      <c r="D142" s="256"/>
      <c r="E142" s="151">
        <v>2023</v>
      </c>
      <c r="F142" s="172">
        <f>I142+J142+K142</f>
        <v>11330300</v>
      </c>
      <c r="G142" s="172">
        <v>10182900</v>
      </c>
      <c r="H142" s="172">
        <v>11490700</v>
      </c>
      <c r="I142" s="172">
        <v>0</v>
      </c>
      <c r="J142" s="172">
        <v>11330300</v>
      </c>
      <c r="K142" s="172">
        <v>0</v>
      </c>
      <c r="L142" s="258"/>
      <c r="M142" s="259"/>
      <c r="N142" s="253">
        <v>100</v>
      </c>
      <c r="O142" s="253">
        <v>100</v>
      </c>
      <c r="P142" s="173">
        <v>422</v>
      </c>
      <c r="Q142" s="252"/>
    </row>
    <row r="143" spans="1:17" ht="31.5" customHeight="1">
      <c r="A143" s="236"/>
      <c r="B143" s="254"/>
      <c r="C143" s="256"/>
      <c r="D143" s="256"/>
      <c r="E143" s="151">
        <v>2024</v>
      </c>
      <c r="F143" s="172">
        <f>I143+J143+K143</f>
        <v>11802400</v>
      </c>
      <c r="G143" s="172">
        <v>2312753</v>
      </c>
      <c r="H143" s="172">
        <v>2497880</v>
      </c>
      <c r="I143" s="172">
        <v>0</v>
      </c>
      <c r="J143" s="172">
        <v>11802400</v>
      </c>
      <c r="K143" s="172">
        <v>0</v>
      </c>
      <c r="L143" s="258"/>
      <c r="M143" s="259"/>
      <c r="N143" s="253"/>
      <c r="O143" s="253"/>
      <c r="P143" s="173">
        <v>422</v>
      </c>
      <c r="Q143" s="252"/>
    </row>
    <row r="144" spans="1:18" ht="34.5" customHeight="1">
      <c r="A144" s="236" t="s">
        <v>108</v>
      </c>
      <c r="B144" s="254" t="s">
        <v>243</v>
      </c>
      <c r="C144" s="246" t="s">
        <v>75</v>
      </c>
      <c r="D144" s="246" t="s">
        <v>120</v>
      </c>
      <c r="E144" s="151">
        <v>2021</v>
      </c>
      <c r="F144" s="172">
        <f>I144+J144+K144</f>
        <v>92336.74</v>
      </c>
      <c r="G144" s="172"/>
      <c r="H144" s="172"/>
      <c r="I144" s="172">
        <f>60859.18+31477.56</f>
        <v>92336.74</v>
      </c>
      <c r="J144" s="172">
        <v>0</v>
      </c>
      <c r="K144" s="172">
        <v>0</v>
      </c>
      <c r="L144" s="212" t="s">
        <v>214</v>
      </c>
      <c r="M144" s="215" t="s">
        <v>36</v>
      </c>
      <c r="N144" s="163"/>
      <c r="O144" s="163"/>
      <c r="P144" s="173">
        <v>100</v>
      </c>
      <c r="Q144" s="252" t="s">
        <v>135</v>
      </c>
      <c r="R144" s="245"/>
    </row>
    <row r="145" spans="1:19" ht="33" customHeight="1">
      <c r="A145" s="237"/>
      <c r="B145" s="255"/>
      <c r="C145" s="256"/>
      <c r="D145" s="256"/>
      <c r="E145" s="151">
        <v>2022</v>
      </c>
      <c r="F145" s="172">
        <f aca="true" t="shared" si="9" ref="F145:F171">I145+J145+K145</f>
        <v>101036.73</v>
      </c>
      <c r="G145" s="199"/>
      <c r="H145" s="199"/>
      <c r="I145" s="199">
        <f>103216.33-2179.6</f>
        <v>101036.73</v>
      </c>
      <c r="J145" s="199">
        <v>0</v>
      </c>
      <c r="K145" s="199">
        <v>0</v>
      </c>
      <c r="L145" s="248"/>
      <c r="M145" s="250"/>
      <c r="N145" s="163"/>
      <c r="O145" s="163"/>
      <c r="P145" s="173">
        <v>100</v>
      </c>
      <c r="Q145" s="252"/>
      <c r="R145" s="245"/>
      <c r="S145" t="s">
        <v>146</v>
      </c>
    </row>
    <row r="146" spans="1:18" ht="33" customHeight="1">
      <c r="A146" s="237"/>
      <c r="B146" s="255"/>
      <c r="C146" s="256"/>
      <c r="D146" s="256"/>
      <c r="E146" s="151">
        <v>2023</v>
      </c>
      <c r="F146" s="172">
        <f t="shared" si="9"/>
        <v>112887.76</v>
      </c>
      <c r="G146" s="199"/>
      <c r="H146" s="199"/>
      <c r="I146" s="199">
        <v>112887.76</v>
      </c>
      <c r="J146" s="199">
        <v>0</v>
      </c>
      <c r="K146" s="199">
        <v>0</v>
      </c>
      <c r="L146" s="248"/>
      <c r="M146" s="250"/>
      <c r="N146" s="163"/>
      <c r="O146" s="163"/>
      <c r="P146" s="173">
        <v>100</v>
      </c>
      <c r="Q146" s="252"/>
      <c r="R146" s="245"/>
    </row>
    <row r="147" spans="1:18" ht="33" customHeight="1">
      <c r="A147" s="207"/>
      <c r="B147" s="214"/>
      <c r="C147" s="207"/>
      <c r="D147" s="207"/>
      <c r="E147" s="151">
        <v>2024</v>
      </c>
      <c r="F147" s="172">
        <f t="shared" si="9"/>
        <v>119032.65000000001</v>
      </c>
      <c r="G147" s="199"/>
      <c r="H147" s="199"/>
      <c r="I147" s="199">
        <f>118797.96+234.69</f>
        <v>119032.65000000001</v>
      </c>
      <c r="J147" s="199">
        <v>0</v>
      </c>
      <c r="K147" s="199">
        <v>0</v>
      </c>
      <c r="L147" s="214"/>
      <c r="M147" s="207"/>
      <c r="N147" s="163"/>
      <c r="O147" s="163"/>
      <c r="P147" s="173">
        <v>100</v>
      </c>
      <c r="Q147" s="231"/>
      <c r="R147" s="245"/>
    </row>
    <row r="148" spans="1:18" ht="31.5" customHeight="1">
      <c r="A148" s="247" t="s">
        <v>63</v>
      </c>
      <c r="B148" s="254" t="s">
        <v>244</v>
      </c>
      <c r="C148" s="246" t="s">
        <v>75</v>
      </c>
      <c r="D148" s="246" t="s">
        <v>120</v>
      </c>
      <c r="E148" s="151">
        <v>2021</v>
      </c>
      <c r="F148" s="172">
        <f>I148+J148+K148</f>
        <v>4524500</v>
      </c>
      <c r="G148" s="172"/>
      <c r="H148" s="172"/>
      <c r="I148" s="172">
        <v>0</v>
      </c>
      <c r="J148" s="172">
        <f>2982100+1542400</f>
        <v>4524500</v>
      </c>
      <c r="K148" s="172">
        <v>0</v>
      </c>
      <c r="L148" s="212" t="s">
        <v>213</v>
      </c>
      <c r="M148" s="215" t="s">
        <v>36</v>
      </c>
      <c r="N148" s="188"/>
      <c r="O148" s="188"/>
      <c r="P148" s="173">
        <v>100</v>
      </c>
      <c r="Q148" s="185"/>
      <c r="R148" s="189"/>
    </row>
    <row r="149" spans="1:18" ht="33.75" customHeight="1">
      <c r="A149" s="247"/>
      <c r="B149" s="255"/>
      <c r="C149" s="256"/>
      <c r="D149" s="256"/>
      <c r="E149" s="151">
        <v>2022</v>
      </c>
      <c r="F149" s="172">
        <f>I149+J149+K149</f>
        <v>4950800</v>
      </c>
      <c r="G149" s="199"/>
      <c r="H149" s="199"/>
      <c r="I149" s="199">
        <v>0</v>
      </c>
      <c r="J149" s="199">
        <f>5057600-106800</f>
        <v>4950800</v>
      </c>
      <c r="K149" s="199">
        <v>0</v>
      </c>
      <c r="L149" s="248"/>
      <c r="M149" s="250"/>
      <c r="N149" s="188"/>
      <c r="O149" s="188"/>
      <c r="P149" s="173">
        <v>100</v>
      </c>
      <c r="Q149" s="190">
        <v>71250</v>
      </c>
      <c r="R149" s="189"/>
    </row>
    <row r="150" spans="1:18" ht="30" customHeight="1">
      <c r="A150" s="247"/>
      <c r="B150" s="255"/>
      <c r="C150" s="256"/>
      <c r="D150" s="256"/>
      <c r="E150" s="151">
        <v>2023</v>
      </c>
      <c r="F150" s="172">
        <f>I150+J150+K150</f>
        <v>5531500</v>
      </c>
      <c r="G150" s="199"/>
      <c r="H150" s="199"/>
      <c r="I150" s="199">
        <v>0</v>
      </c>
      <c r="J150" s="199">
        <v>5531500</v>
      </c>
      <c r="K150" s="199">
        <v>0</v>
      </c>
      <c r="L150" s="248"/>
      <c r="M150" s="250"/>
      <c r="N150" s="188"/>
      <c r="O150" s="188"/>
      <c r="P150" s="173">
        <v>100</v>
      </c>
      <c r="Q150" s="185"/>
      <c r="R150" s="189"/>
    </row>
    <row r="151" spans="1:18" ht="24.75" customHeight="1">
      <c r="A151" s="236"/>
      <c r="B151" s="214"/>
      <c r="C151" s="207"/>
      <c r="D151" s="207"/>
      <c r="E151" s="151">
        <v>2024</v>
      </c>
      <c r="F151" s="172">
        <f>I151+J151+K151</f>
        <v>5832600</v>
      </c>
      <c r="G151" s="199"/>
      <c r="H151" s="199"/>
      <c r="I151" s="199">
        <v>0</v>
      </c>
      <c r="J151" s="199">
        <f>5821100+11500</f>
        <v>5832600</v>
      </c>
      <c r="K151" s="199">
        <v>0</v>
      </c>
      <c r="L151" s="214"/>
      <c r="M151" s="207"/>
      <c r="N151" s="188"/>
      <c r="O151" s="188"/>
      <c r="P151" s="173">
        <v>100</v>
      </c>
      <c r="Q151" s="185"/>
      <c r="R151" s="189"/>
    </row>
    <row r="152" spans="1:22" ht="30" customHeight="1">
      <c r="A152" s="236" t="s">
        <v>64</v>
      </c>
      <c r="B152" s="254" t="s">
        <v>209</v>
      </c>
      <c r="C152" s="246" t="s">
        <v>75</v>
      </c>
      <c r="D152" s="246" t="s">
        <v>120</v>
      </c>
      <c r="E152" s="151">
        <v>2021</v>
      </c>
      <c r="F152" s="199">
        <f t="shared" si="9"/>
        <v>17210389.8</v>
      </c>
      <c r="G152" s="199"/>
      <c r="H152" s="199"/>
      <c r="I152" s="199">
        <v>344207.8</v>
      </c>
      <c r="J152" s="199">
        <v>16866182</v>
      </c>
      <c r="K152" s="199">
        <v>0</v>
      </c>
      <c r="L152" s="212" t="s">
        <v>160</v>
      </c>
      <c r="M152" s="215" t="s">
        <v>36</v>
      </c>
      <c r="N152" s="163"/>
      <c r="O152" s="163"/>
      <c r="P152" s="173">
        <v>100</v>
      </c>
      <c r="Q152" s="240" t="s">
        <v>131</v>
      </c>
      <c r="R152" s="242" t="s">
        <v>148</v>
      </c>
      <c r="S152" s="241"/>
      <c r="T152" s="241"/>
      <c r="U152" s="241"/>
      <c r="V152" s="241"/>
    </row>
    <row r="153" spans="1:22" ht="30" customHeight="1">
      <c r="A153" s="237"/>
      <c r="B153" s="213"/>
      <c r="C153" s="206"/>
      <c r="D153" s="206"/>
      <c r="E153" s="151">
        <v>2022</v>
      </c>
      <c r="F153" s="199">
        <f t="shared" si="9"/>
        <v>20216976.53</v>
      </c>
      <c r="G153" s="199"/>
      <c r="H153" s="199"/>
      <c r="I153" s="199">
        <f>396355.07+7984.46</f>
        <v>404339.53</v>
      </c>
      <c r="J153" s="199">
        <v>19812637</v>
      </c>
      <c r="K153" s="199">
        <v>0</v>
      </c>
      <c r="L153" s="213"/>
      <c r="M153" s="206"/>
      <c r="N153" s="163"/>
      <c r="O153" s="163"/>
      <c r="P153" s="173">
        <v>100</v>
      </c>
      <c r="Q153" s="241"/>
      <c r="R153" s="241"/>
      <c r="S153" s="241"/>
      <c r="T153" s="241"/>
      <c r="U153" s="241"/>
      <c r="V153" s="241"/>
    </row>
    <row r="154" spans="1:22" ht="30" customHeight="1">
      <c r="A154" s="237"/>
      <c r="B154" s="213"/>
      <c r="C154" s="206"/>
      <c r="D154" s="206"/>
      <c r="E154" s="151">
        <v>2023</v>
      </c>
      <c r="F154" s="199">
        <f t="shared" si="9"/>
        <v>19480682.65</v>
      </c>
      <c r="G154" s="199"/>
      <c r="H154" s="199"/>
      <c r="I154" s="199">
        <f>389613.66-0.01</f>
        <v>389613.64999999997</v>
      </c>
      <c r="J154" s="199">
        <v>19091069</v>
      </c>
      <c r="K154" s="199">
        <v>0</v>
      </c>
      <c r="L154" s="213"/>
      <c r="M154" s="206"/>
      <c r="N154" s="163"/>
      <c r="O154" s="163"/>
      <c r="P154" s="173">
        <v>100</v>
      </c>
      <c r="Q154" s="241"/>
      <c r="R154" s="241"/>
      <c r="S154" s="241"/>
      <c r="T154" s="241"/>
      <c r="U154" s="241"/>
      <c r="V154" s="241"/>
    </row>
    <row r="155" spans="1:22" ht="28.5" customHeight="1">
      <c r="A155" s="207"/>
      <c r="B155" s="214"/>
      <c r="C155" s="207"/>
      <c r="D155" s="207"/>
      <c r="E155" s="151">
        <v>2024</v>
      </c>
      <c r="F155" s="199">
        <f t="shared" si="9"/>
        <v>20028122.45</v>
      </c>
      <c r="G155" s="199"/>
      <c r="H155" s="199"/>
      <c r="I155" s="199">
        <f>401423.05-860.6</f>
        <v>400562.45</v>
      </c>
      <c r="J155" s="199">
        <v>19627560</v>
      </c>
      <c r="K155" s="199">
        <v>0</v>
      </c>
      <c r="L155" s="214"/>
      <c r="M155" s="207"/>
      <c r="N155" s="163"/>
      <c r="O155" s="163"/>
      <c r="P155" s="173">
        <v>100</v>
      </c>
      <c r="Q155" s="241"/>
      <c r="R155" s="241"/>
      <c r="S155" s="241"/>
      <c r="T155" s="241"/>
      <c r="U155" s="241"/>
      <c r="V155" s="241"/>
    </row>
    <row r="156" spans="1:17" ht="24.75" customHeight="1">
      <c r="A156" s="247" t="s">
        <v>144</v>
      </c>
      <c r="B156" s="208" t="s">
        <v>62</v>
      </c>
      <c r="C156" s="216" t="s">
        <v>76</v>
      </c>
      <c r="D156" s="216" t="s">
        <v>120</v>
      </c>
      <c r="E156" s="151">
        <v>2021</v>
      </c>
      <c r="F156" s="172">
        <f t="shared" si="9"/>
        <v>17313163.09</v>
      </c>
      <c r="G156" s="172"/>
      <c r="H156" s="172"/>
      <c r="I156" s="172">
        <v>17313163.09</v>
      </c>
      <c r="J156" s="172">
        <v>0</v>
      </c>
      <c r="K156" s="172">
        <v>0</v>
      </c>
      <c r="L156" s="212" t="s">
        <v>161</v>
      </c>
      <c r="M156" s="215" t="s">
        <v>123</v>
      </c>
      <c r="N156" s="163"/>
      <c r="O156" s="163"/>
      <c r="P156" s="173">
        <v>6</v>
      </c>
      <c r="Q156" s="243" t="s">
        <v>145</v>
      </c>
    </row>
    <row r="157" spans="1:17" ht="30.75" customHeight="1">
      <c r="A157" s="247"/>
      <c r="B157" s="225"/>
      <c r="C157" s="238"/>
      <c r="D157" s="238"/>
      <c r="E157" s="151">
        <v>2022</v>
      </c>
      <c r="F157" s="172">
        <f t="shared" si="9"/>
        <v>25170110.400000002</v>
      </c>
      <c r="G157" s="172"/>
      <c r="H157" s="172"/>
      <c r="I157" s="172">
        <f>14005340.03+4229611+5332354.19+1602805.18</f>
        <v>25170110.400000002</v>
      </c>
      <c r="J157" s="172">
        <v>0</v>
      </c>
      <c r="K157" s="172">
        <v>0</v>
      </c>
      <c r="L157" s="248"/>
      <c r="M157" s="250"/>
      <c r="N157" s="127"/>
      <c r="O157" s="127"/>
      <c r="P157" s="173">
        <v>6</v>
      </c>
      <c r="Q157" s="231"/>
    </row>
    <row r="158" spans="1:17" ht="30.75" customHeight="1">
      <c r="A158" s="247"/>
      <c r="B158" s="225"/>
      <c r="C158" s="238"/>
      <c r="D158" s="238"/>
      <c r="E158" s="151">
        <v>2023</v>
      </c>
      <c r="F158" s="172">
        <f t="shared" si="9"/>
        <v>25170110.400000002</v>
      </c>
      <c r="G158" s="172"/>
      <c r="H158" s="172"/>
      <c r="I158" s="172">
        <f>14005340.03+4229611+5332354.19+1602805.18</f>
        <v>25170110.400000002</v>
      </c>
      <c r="J158" s="172">
        <v>0</v>
      </c>
      <c r="K158" s="172">
        <v>0</v>
      </c>
      <c r="L158" s="248"/>
      <c r="M158" s="250"/>
      <c r="N158" s="127"/>
      <c r="O158" s="127"/>
      <c r="P158" s="173">
        <v>6</v>
      </c>
      <c r="Q158" s="231"/>
    </row>
    <row r="159" spans="1:19" ht="26.25" customHeight="1">
      <c r="A159" s="236"/>
      <c r="B159" s="226"/>
      <c r="C159" s="239"/>
      <c r="D159" s="239"/>
      <c r="E159" s="151">
        <v>2024</v>
      </c>
      <c r="F159" s="172">
        <f t="shared" si="9"/>
        <v>25170110.400000002</v>
      </c>
      <c r="G159" s="172"/>
      <c r="H159" s="172"/>
      <c r="I159" s="172">
        <f>14005340.03+4229611+5332354.19+1602805.18</f>
        <v>25170110.400000002</v>
      </c>
      <c r="J159" s="172">
        <v>0</v>
      </c>
      <c r="K159" s="172">
        <v>0</v>
      </c>
      <c r="L159" s="249"/>
      <c r="M159" s="251"/>
      <c r="N159" s="127"/>
      <c r="O159" s="127"/>
      <c r="P159" s="173">
        <v>6</v>
      </c>
      <c r="Q159" s="231"/>
      <c r="S159" s="244" t="s">
        <v>210</v>
      </c>
    </row>
    <row r="160" spans="1:19" ht="26.25" customHeight="1">
      <c r="A160" s="236" t="s">
        <v>207</v>
      </c>
      <c r="B160" s="208" t="s">
        <v>245</v>
      </c>
      <c r="C160" s="216" t="s">
        <v>76</v>
      </c>
      <c r="D160" s="216" t="s">
        <v>120</v>
      </c>
      <c r="E160" s="151">
        <v>2021</v>
      </c>
      <c r="F160" s="172">
        <f t="shared" si="9"/>
        <v>414099.28</v>
      </c>
      <c r="G160" s="172"/>
      <c r="H160" s="172"/>
      <c r="I160" s="172">
        <v>414099.28</v>
      </c>
      <c r="J160" s="172">
        <v>0</v>
      </c>
      <c r="K160" s="172">
        <v>0</v>
      </c>
      <c r="L160" s="212" t="s">
        <v>157</v>
      </c>
      <c r="M160" s="215" t="s">
        <v>36</v>
      </c>
      <c r="N160" s="127"/>
      <c r="O160" s="127"/>
      <c r="P160" s="173">
        <v>100</v>
      </c>
      <c r="Q160" s="231" t="s">
        <v>130</v>
      </c>
      <c r="S160" s="245"/>
    </row>
    <row r="161" spans="1:19" ht="26.25" customHeight="1">
      <c r="A161" s="237"/>
      <c r="B161" s="213"/>
      <c r="C161" s="238"/>
      <c r="D161" s="238"/>
      <c r="E161" s="151">
        <v>2022</v>
      </c>
      <c r="F161" s="172">
        <f t="shared" si="9"/>
        <v>0</v>
      </c>
      <c r="G161" s="172"/>
      <c r="H161" s="172"/>
      <c r="I161" s="172">
        <v>0</v>
      </c>
      <c r="J161" s="172">
        <v>0</v>
      </c>
      <c r="K161" s="172">
        <v>0</v>
      </c>
      <c r="L161" s="213"/>
      <c r="M161" s="206"/>
      <c r="N161" s="127"/>
      <c r="O161" s="127"/>
      <c r="P161" s="173">
        <v>0</v>
      </c>
      <c r="Q161" s="231"/>
      <c r="S161" s="245"/>
    </row>
    <row r="162" spans="1:19" ht="26.25" customHeight="1">
      <c r="A162" s="237"/>
      <c r="B162" s="213"/>
      <c r="C162" s="238"/>
      <c r="D162" s="238"/>
      <c r="E162" s="151">
        <v>2023</v>
      </c>
      <c r="F162" s="172">
        <f t="shared" si="9"/>
        <v>0</v>
      </c>
      <c r="G162" s="172"/>
      <c r="H162" s="172"/>
      <c r="I162" s="172">
        <v>0</v>
      </c>
      <c r="J162" s="172">
        <v>0</v>
      </c>
      <c r="K162" s="172">
        <v>0</v>
      </c>
      <c r="L162" s="213"/>
      <c r="M162" s="206"/>
      <c r="N162" s="127"/>
      <c r="O162" s="127"/>
      <c r="P162" s="173">
        <v>0</v>
      </c>
      <c r="Q162" s="231"/>
      <c r="S162" s="245"/>
    </row>
    <row r="163" spans="1:17" ht="26.25" customHeight="1">
      <c r="A163" s="207"/>
      <c r="B163" s="214"/>
      <c r="C163" s="239"/>
      <c r="D163" s="239"/>
      <c r="E163" s="151">
        <v>2024</v>
      </c>
      <c r="F163" s="172">
        <f t="shared" si="9"/>
        <v>0</v>
      </c>
      <c r="G163" s="172"/>
      <c r="H163" s="172"/>
      <c r="I163" s="172">
        <v>0</v>
      </c>
      <c r="J163" s="172">
        <v>0</v>
      </c>
      <c r="K163" s="172">
        <v>0</v>
      </c>
      <c r="L163" s="214"/>
      <c r="M163" s="207"/>
      <c r="N163" s="127"/>
      <c r="O163" s="127"/>
      <c r="P163" s="173">
        <v>0</v>
      </c>
      <c r="Q163" s="231"/>
    </row>
    <row r="164" spans="1:17" ht="26.25" customHeight="1">
      <c r="A164" s="247" t="s">
        <v>215</v>
      </c>
      <c r="B164" s="208" t="s">
        <v>166</v>
      </c>
      <c r="C164" s="216" t="s">
        <v>76</v>
      </c>
      <c r="D164" s="216" t="s">
        <v>120</v>
      </c>
      <c r="E164" s="151">
        <v>2021</v>
      </c>
      <c r="F164" s="172">
        <f>I164+J164+K164</f>
        <v>309701.46</v>
      </c>
      <c r="G164" s="172"/>
      <c r="H164" s="172"/>
      <c r="I164" s="172">
        <v>309701.46</v>
      </c>
      <c r="J164" s="172">
        <v>0</v>
      </c>
      <c r="K164" s="172">
        <v>0</v>
      </c>
      <c r="L164" s="212" t="s">
        <v>206</v>
      </c>
      <c r="M164" s="215" t="s">
        <v>36</v>
      </c>
      <c r="N164" s="127"/>
      <c r="O164" s="127"/>
      <c r="P164" s="173">
        <v>100</v>
      </c>
      <c r="Q164" s="185"/>
    </row>
    <row r="165" spans="1:17" ht="26.25" customHeight="1">
      <c r="A165" s="247"/>
      <c r="B165" s="213"/>
      <c r="C165" s="238"/>
      <c r="D165" s="238"/>
      <c r="E165" s="151">
        <v>2022</v>
      </c>
      <c r="F165" s="172">
        <f>I165+J165+K165</f>
        <v>180000</v>
      </c>
      <c r="G165" s="172"/>
      <c r="H165" s="172"/>
      <c r="I165" s="172">
        <v>180000</v>
      </c>
      <c r="J165" s="172">
        <v>0</v>
      </c>
      <c r="K165" s="172">
        <v>0</v>
      </c>
      <c r="L165" s="213"/>
      <c r="M165" s="206"/>
      <c r="N165" s="127"/>
      <c r="O165" s="127"/>
      <c r="P165" s="173">
        <v>100</v>
      </c>
      <c r="Q165" s="185"/>
    </row>
    <row r="166" spans="1:17" ht="26.25" customHeight="1">
      <c r="A166" s="247"/>
      <c r="B166" s="213"/>
      <c r="C166" s="238"/>
      <c r="D166" s="238"/>
      <c r="E166" s="151">
        <v>2023</v>
      </c>
      <c r="F166" s="172">
        <f>I166+J166+K166</f>
        <v>0</v>
      </c>
      <c r="G166" s="172"/>
      <c r="H166" s="172"/>
      <c r="I166" s="172">
        <v>0</v>
      </c>
      <c r="J166" s="172">
        <v>0</v>
      </c>
      <c r="K166" s="172">
        <v>0</v>
      </c>
      <c r="L166" s="213"/>
      <c r="M166" s="206"/>
      <c r="N166" s="127"/>
      <c r="O166" s="127"/>
      <c r="P166" s="173">
        <v>0</v>
      </c>
      <c r="Q166" s="185">
        <v>13060</v>
      </c>
    </row>
    <row r="167" spans="1:17" ht="26.25" customHeight="1">
      <c r="A167" s="236"/>
      <c r="B167" s="214"/>
      <c r="C167" s="239"/>
      <c r="D167" s="239"/>
      <c r="E167" s="151">
        <v>2024</v>
      </c>
      <c r="F167" s="172">
        <f>I167+J167+K167</f>
        <v>0</v>
      </c>
      <c r="G167" s="172"/>
      <c r="H167" s="172"/>
      <c r="I167" s="172">
        <v>0</v>
      </c>
      <c r="J167" s="172">
        <v>0</v>
      </c>
      <c r="K167" s="172">
        <v>0</v>
      </c>
      <c r="L167" s="214"/>
      <c r="M167" s="207"/>
      <c r="N167" s="127"/>
      <c r="O167" s="127"/>
      <c r="P167" s="173">
        <v>0</v>
      </c>
      <c r="Q167" s="185"/>
    </row>
    <row r="168" spans="1:16" ht="15">
      <c r="A168" s="232"/>
      <c r="B168" s="234" t="s">
        <v>216</v>
      </c>
      <c r="C168" s="232"/>
      <c r="D168" s="232"/>
      <c r="E168" s="150">
        <v>2021</v>
      </c>
      <c r="F168" s="118">
        <f>I168+J168+K168</f>
        <v>937383986.71</v>
      </c>
      <c r="G168" s="118" t="e">
        <f>SUM(G169:G170)</f>
        <v>#REF!</v>
      </c>
      <c r="H168" s="118" t="e">
        <f>SUM(H169:H170)</f>
        <v>#REF!</v>
      </c>
      <c r="I168" s="118">
        <f aca="true" t="shared" si="10" ref="I168:K171">I16+I64+I104+I128+I136</f>
        <v>250785543.71</v>
      </c>
      <c r="J168" s="118">
        <f t="shared" si="10"/>
        <v>686598443</v>
      </c>
      <c r="K168" s="118">
        <f t="shared" si="10"/>
        <v>0</v>
      </c>
      <c r="L168" s="235"/>
      <c r="M168" s="235"/>
      <c r="N168" s="235"/>
      <c r="O168" s="235"/>
      <c r="P168" s="235"/>
    </row>
    <row r="169" spans="1:16" ht="15">
      <c r="A169" s="232"/>
      <c r="B169" s="234"/>
      <c r="C169" s="232"/>
      <c r="D169" s="232"/>
      <c r="E169" s="150">
        <v>2022</v>
      </c>
      <c r="F169" s="118">
        <f t="shared" si="9"/>
        <v>964194020.73</v>
      </c>
      <c r="G169" s="118" t="e">
        <f>G17+G65+#REF!+#REF!</f>
        <v>#REF!</v>
      </c>
      <c r="H169" s="118" t="e">
        <f>H17+H65+#REF!+#REF!</f>
        <v>#REF!</v>
      </c>
      <c r="I169" s="118">
        <f t="shared" si="10"/>
        <v>288204339.73</v>
      </c>
      <c r="J169" s="118">
        <f t="shared" si="10"/>
        <v>675989681</v>
      </c>
      <c r="K169" s="118">
        <f t="shared" si="10"/>
        <v>0</v>
      </c>
      <c r="L169" s="235"/>
      <c r="M169" s="235"/>
      <c r="N169" s="235"/>
      <c r="O169" s="235"/>
      <c r="P169" s="235"/>
    </row>
    <row r="170" spans="1:16" ht="15">
      <c r="A170" s="232"/>
      <c r="B170" s="234"/>
      <c r="C170" s="232"/>
      <c r="D170" s="232"/>
      <c r="E170" s="150">
        <v>2023</v>
      </c>
      <c r="F170" s="118">
        <f t="shared" si="9"/>
        <v>972320438.11</v>
      </c>
      <c r="G170" s="118" t="e">
        <f>G19+G67+#REF!+#REF!</f>
        <v>#REF!</v>
      </c>
      <c r="H170" s="118" t="e">
        <f>H19+H67+#REF!+#REF!</f>
        <v>#REF!</v>
      </c>
      <c r="I170" s="118">
        <f t="shared" si="10"/>
        <v>285523325.11</v>
      </c>
      <c r="J170" s="118">
        <f t="shared" si="10"/>
        <v>686797113</v>
      </c>
      <c r="K170" s="118">
        <f t="shared" si="10"/>
        <v>0</v>
      </c>
      <c r="L170" s="235"/>
      <c r="M170" s="235"/>
      <c r="N170" s="235"/>
      <c r="O170" s="235"/>
      <c r="P170" s="235"/>
    </row>
    <row r="171" spans="1:16" ht="15">
      <c r="A171" s="233"/>
      <c r="B171" s="233"/>
      <c r="C171" s="233"/>
      <c r="D171" s="233"/>
      <c r="E171" s="150">
        <v>2024</v>
      </c>
      <c r="F171" s="118">
        <f t="shared" si="9"/>
        <v>996202888.04</v>
      </c>
      <c r="G171" s="118" t="e">
        <f>G20+G72+#REF!+#REF!</f>
        <v>#REF!</v>
      </c>
      <c r="H171" s="118" t="e">
        <f>H20+H72+#REF!+#REF!</f>
        <v>#REF!</v>
      </c>
      <c r="I171" s="118">
        <f t="shared" si="10"/>
        <v>291438384.04</v>
      </c>
      <c r="J171" s="118">
        <f t="shared" si="10"/>
        <v>704764504</v>
      </c>
      <c r="K171" s="118">
        <f t="shared" si="10"/>
        <v>0</v>
      </c>
      <c r="L171" s="233"/>
      <c r="M171" s="233"/>
      <c r="N171" s="233"/>
      <c r="O171" s="233"/>
      <c r="P171" s="233"/>
    </row>
    <row r="172" spans="1:16" ht="15">
      <c r="A172" s="55"/>
      <c r="B172" s="55"/>
      <c r="C172" s="55"/>
      <c r="D172" s="55"/>
      <c r="E172" s="55"/>
      <c r="F172" s="201"/>
      <c r="G172" s="201"/>
      <c r="H172" s="201"/>
      <c r="I172" s="201"/>
      <c r="J172" s="201"/>
      <c r="K172" s="55"/>
      <c r="L172" s="55"/>
      <c r="M172" s="55"/>
      <c r="N172" s="55"/>
      <c r="O172" s="55"/>
      <c r="P172" s="55"/>
    </row>
    <row r="173" spans="1:16" ht="15">
      <c r="A173" s="55"/>
      <c r="B173" s="55"/>
      <c r="C173" s="55"/>
      <c r="D173" s="55"/>
      <c r="E173" s="56"/>
      <c r="F173" s="56"/>
      <c r="G173" s="56"/>
      <c r="H173" s="56"/>
      <c r="I173" s="56"/>
      <c r="J173" s="56"/>
      <c r="K173" s="56"/>
      <c r="L173" s="55"/>
      <c r="M173" s="55"/>
      <c r="N173" s="55"/>
      <c r="O173" s="55"/>
      <c r="P173" s="55"/>
    </row>
    <row r="174" spans="1:16" ht="15">
      <c r="A174" s="55"/>
      <c r="B174" s="55"/>
      <c r="C174" s="55"/>
      <c r="D174" s="55"/>
      <c r="E174" s="57"/>
      <c r="F174" s="230" t="s">
        <v>89</v>
      </c>
      <c r="G174" s="230"/>
      <c r="H174" s="230"/>
      <c r="I174" s="230"/>
      <c r="J174" s="230"/>
      <c r="K174" s="230"/>
      <c r="L174" s="55"/>
      <c r="M174" s="55"/>
      <c r="N174" s="55"/>
      <c r="O174" s="55"/>
      <c r="P174" s="55"/>
    </row>
    <row r="175" spans="1:16" ht="1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</row>
  </sheetData>
  <sheetProtection/>
  <mergeCells count="281">
    <mergeCell ref="F80:K83"/>
    <mergeCell ref="L1:P1"/>
    <mergeCell ref="L2:P2"/>
    <mergeCell ref="L3:P3"/>
    <mergeCell ref="L4:P4"/>
    <mergeCell ref="A148:A151"/>
    <mergeCell ref="B148:B151"/>
    <mergeCell ref="C148:C151"/>
    <mergeCell ref="D148:D151"/>
    <mergeCell ref="L148:L151"/>
    <mergeCell ref="M148:M151"/>
    <mergeCell ref="A164:A167"/>
    <mergeCell ref="B164:B167"/>
    <mergeCell ref="C164:C167"/>
    <mergeCell ref="D164:D167"/>
    <mergeCell ref="L164:L167"/>
    <mergeCell ref="M164:M167"/>
    <mergeCell ref="A152:A155"/>
    <mergeCell ref="B152:B155"/>
    <mergeCell ref="C152:C155"/>
    <mergeCell ref="A124:A127"/>
    <mergeCell ref="B124:B127"/>
    <mergeCell ref="C124:C127"/>
    <mergeCell ref="D124:D127"/>
    <mergeCell ref="L124:L127"/>
    <mergeCell ref="M124:M127"/>
    <mergeCell ref="A116:A119"/>
    <mergeCell ref="B116:B119"/>
    <mergeCell ref="C116:C119"/>
    <mergeCell ref="D116:D119"/>
    <mergeCell ref="L116:L119"/>
    <mergeCell ref="M116:M119"/>
    <mergeCell ref="A7:P8"/>
    <mergeCell ref="A9:P9"/>
    <mergeCell ref="A10:A12"/>
    <mergeCell ref="B10:B12"/>
    <mergeCell ref="C10:C12"/>
    <mergeCell ref="D10:D12"/>
    <mergeCell ref="E10:E12"/>
    <mergeCell ref="F10:K11"/>
    <mergeCell ref="L10:L12"/>
    <mergeCell ref="M10:M12"/>
    <mergeCell ref="P10:P12"/>
    <mergeCell ref="A14:P14"/>
    <mergeCell ref="A15:P15"/>
    <mergeCell ref="A16:A19"/>
    <mergeCell ref="B16:B19"/>
    <mergeCell ref="C16:C19"/>
    <mergeCell ref="D16:D19"/>
    <mergeCell ref="L16:L19"/>
    <mergeCell ref="M16:M19"/>
    <mergeCell ref="A20:A23"/>
    <mergeCell ref="B20:B23"/>
    <mergeCell ref="C20:C23"/>
    <mergeCell ref="D20:D23"/>
    <mergeCell ref="L20:L23"/>
    <mergeCell ref="M20:M23"/>
    <mergeCell ref="N20:N23"/>
    <mergeCell ref="O20:O23"/>
    <mergeCell ref="A28:A31"/>
    <mergeCell ref="B28:B31"/>
    <mergeCell ref="C28:C31"/>
    <mergeCell ref="D28:D31"/>
    <mergeCell ref="L28:L31"/>
    <mergeCell ref="M28:M31"/>
    <mergeCell ref="A24:A27"/>
    <mergeCell ref="B24:B27"/>
    <mergeCell ref="Q28:Q31"/>
    <mergeCell ref="A32:A35"/>
    <mergeCell ref="B32:B35"/>
    <mergeCell ref="C32:C35"/>
    <mergeCell ref="D32:D35"/>
    <mergeCell ref="L32:L35"/>
    <mergeCell ref="M32:M35"/>
    <mergeCell ref="Q32:Q35"/>
    <mergeCell ref="A36:A39"/>
    <mergeCell ref="B36:B39"/>
    <mergeCell ref="C36:C39"/>
    <mergeCell ref="D36:D39"/>
    <mergeCell ref="L36:L39"/>
    <mergeCell ref="M36:M39"/>
    <mergeCell ref="N36:N39"/>
    <mergeCell ref="O36:O39"/>
    <mergeCell ref="Q36:Q39"/>
    <mergeCell ref="A44:A47"/>
    <mergeCell ref="B44:B47"/>
    <mergeCell ref="C44:C47"/>
    <mergeCell ref="D44:D47"/>
    <mergeCell ref="L44:L47"/>
    <mergeCell ref="M44:M47"/>
    <mergeCell ref="Q44:Q47"/>
    <mergeCell ref="A64:A67"/>
    <mergeCell ref="B64:B67"/>
    <mergeCell ref="C64:C67"/>
    <mergeCell ref="D64:D67"/>
    <mergeCell ref="L64:L67"/>
    <mergeCell ref="M64:M67"/>
    <mergeCell ref="A72:A75"/>
    <mergeCell ref="B72:B75"/>
    <mergeCell ref="C72:C75"/>
    <mergeCell ref="D72:D75"/>
    <mergeCell ref="L72:L75"/>
    <mergeCell ref="M72:M75"/>
    <mergeCell ref="N72:N75"/>
    <mergeCell ref="O72:O75"/>
    <mergeCell ref="Q72:Q75"/>
    <mergeCell ref="A76:A79"/>
    <mergeCell ref="B76:B79"/>
    <mergeCell ref="C76:C79"/>
    <mergeCell ref="D76:D79"/>
    <mergeCell ref="L76:L79"/>
    <mergeCell ref="M76:M79"/>
    <mergeCell ref="Q76:Q79"/>
    <mergeCell ref="M104:M107"/>
    <mergeCell ref="A84:A87"/>
    <mergeCell ref="B84:B87"/>
    <mergeCell ref="C84:C87"/>
    <mergeCell ref="A80:A83"/>
    <mergeCell ref="B80:B83"/>
    <mergeCell ref="C80:C83"/>
    <mergeCell ref="D80:D83"/>
    <mergeCell ref="L80:L83"/>
    <mergeCell ref="M80:M83"/>
    <mergeCell ref="C108:C111"/>
    <mergeCell ref="D108:D111"/>
    <mergeCell ref="L108:L111"/>
    <mergeCell ref="M108:M111"/>
    <mergeCell ref="Q80:Q83"/>
    <mergeCell ref="A104:A107"/>
    <mergeCell ref="B104:B107"/>
    <mergeCell ref="C104:C107"/>
    <mergeCell ref="D104:D107"/>
    <mergeCell ref="L104:L107"/>
    <mergeCell ref="Q108:Q111"/>
    <mergeCell ref="A112:A115"/>
    <mergeCell ref="B112:B115"/>
    <mergeCell ref="C112:C115"/>
    <mergeCell ref="D112:D115"/>
    <mergeCell ref="L112:L115"/>
    <mergeCell ref="M112:M115"/>
    <mergeCell ref="Q112:Q115"/>
    <mergeCell ref="A108:A111"/>
    <mergeCell ref="B108:B111"/>
    <mergeCell ref="D132:D135"/>
    <mergeCell ref="L132:L135"/>
    <mergeCell ref="M132:M135"/>
    <mergeCell ref="A128:A131"/>
    <mergeCell ref="B128:B131"/>
    <mergeCell ref="C128:C131"/>
    <mergeCell ref="D128:D131"/>
    <mergeCell ref="L128:L131"/>
    <mergeCell ref="M128:M131"/>
    <mergeCell ref="Q132:Q135"/>
    <mergeCell ref="A136:A139"/>
    <mergeCell ref="B136:B139"/>
    <mergeCell ref="C136:C139"/>
    <mergeCell ref="D136:D139"/>
    <mergeCell ref="L136:L139"/>
    <mergeCell ref="M136:M139"/>
    <mergeCell ref="A132:A135"/>
    <mergeCell ref="B132:B135"/>
    <mergeCell ref="C132:C135"/>
    <mergeCell ref="A140:A143"/>
    <mergeCell ref="B140:B143"/>
    <mergeCell ref="C140:C143"/>
    <mergeCell ref="D140:D143"/>
    <mergeCell ref="L140:L143"/>
    <mergeCell ref="M140:M143"/>
    <mergeCell ref="Q140:Q143"/>
    <mergeCell ref="N142:N143"/>
    <mergeCell ref="O142:O143"/>
    <mergeCell ref="A144:A147"/>
    <mergeCell ref="B144:B147"/>
    <mergeCell ref="C144:C147"/>
    <mergeCell ref="D144:D147"/>
    <mergeCell ref="L144:L147"/>
    <mergeCell ref="M144:M147"/>
    <mergeCell ref="Q144:R147"/>
    <mergeCell ref="A156:A159"/>
    <mergeCell ref="B156:B159"/>
    <mergeCell ref="C156:C159"/>
    <mergeCell ref="D156:D159"/>
    <mergeCell ref="L156:L159"/>
    <mergeCell ref="M156:M159"/>
    <mergeCell ref="D160:D163"/>
    <mergeCell ref="L160:L163"/>
    <mergeCell ref="M160:M163"/>
    <mergeCell ref="Q152:Q155"/>
    <mergeCell ref="R152:V155"/>
    <mergeCell ref="Q156:Q159"/>
    <mergeCell ref="S159:S162"/>
    <mergeCell ref="D152:D155"/>
    <mergeCell ref="L152:L155"/>
    <mergeCell ref="M152:M155"/>
    <mergeCell ref="B68:B71"/>
    <mergeCell ref="Q160:Q163"/>
    <mergeCell ref="A168:A171"/>
    <mergeCell ref="B168:B171"/>
    <mergeCell ref="C168:C171"/>
    <mergeCell ref="D168:D171"/>
    <mergeCell ref="L168:P171"/>
    <mergeCell ref="A160:A163"/>
    <mergeCell ref="B160:B163"/>
    <mergeCell ref="C160:C163"/>
    <mergeCell ref="A52:A55"/>
    <mergeCell ref="B52:B55"/>
    <mergeCell ref="F174:K174"/>
    <mergeCell ref="A48:A51"/>
    <mergeCell ref="B48:B51"/>
    <mergeCell ref="C48:C51"/>
    <mergeCell ref="D48:D51"/>
    <mergeCell ref="C52:C55"/>
    <mergeCell ref="D52:D55"/>
    <mergeCell ref="A68:A71"/>
    <mergeCell ref="A60:A63"/>
    <mergeCell ref="B60:B63"/>
    <mergeCell ref="C60:C63"/>
    <mergeCell ref="D60:D63"/>
    <mergeCell ref="L60:L63"/>
    <mergeCell ref="M60:M63"/>
    <mergeCell ref="L52:L55"/>
    <mergeCell ref="M52:M55"/>
    <mergeCell ref="C40:C43"/>
    <mergeCell ref="D40:D43"/>
    <mergeCell ref="B40:B43"/>
    <mergeCell ref="A40:A43"/>
    <mergeCell ref="L40:L43"/>
    <mergeCell ref="M40:M43"/>
    <mergeCell ref="M48:M51"/>
    <mergeCell ref="L48:L51"/>
    <mergeCell ref="C24:C27"/>
    <mergeCell ref="D24:D27"/>
    <mergeCell ref="L24:L27"/>
    <mergeCell ref="M24:M27"/>
    <mergeCell ref="N24:N27"/>
    <mergeCell ref="O24:O27"/>
    <mergeCell ref="C68:C71"/>
    <mergeCell ref="D68:D71"/>
    <mergeCell ref="L68:L71"/>
    <mergeCell ref="M68:M71"/>
    <mergeCell ref="N68:N71"/>
    <mergeCell ref="O68:O71"/>
    <mergeCell ref="A88:A91"/>
    <mergeCell ref="B88:B91"/>
    <mergeCell ref="C88:C91"/>
    <mergeCell ref="D88:D91"/>
    <mergeCell ref="L88:L91"/>
    <mergeCell ref="M88:M91"/>
    <mergeCell ref="C92:C95"/>
    <mergeCell ref="D92:D95"/>
    <mergeCell ref="L92:L95"/>
    <mergeCell ref="M92:M95"/>
    <mergeCell ref="D84:D87"/>
    <mergeCell ref="L84:L87"/>
    <mergeCell ref="M84:M87"/>
    <mergeCell ref="M100:M103"/>
    <mergeCell ref="B96:B99"/>
    <mergeCell ref="C96:C99"/>
    <mergeCell ref="D96:D99"/>
    <mergeCell ref="L96:L99"/>
    <mergeCell ref="M96:M99"/>
    <mergeCell ref="C56:C59"/>
    <mergeCell ref="D56:D59"/>
    <mergeCell ref="L56:L59"/>
    <mergeCell ref="A100:A103"/>
    <mergeCell ref="B100:B103"/>
    <mergeCell ref="C100:C103"/>
    <mergeCell ref="D100:D103"/>
    <mergeCell ref="L100:L103"/>
    <mergeCell ref="A92:A95"/>
    <mergeCell ref="B92:B95"/>
    <mergeCell ref="M56:M59"/>
    <mergeCell ref="A120:A123"/>
    <mergeCell ref="B120:B123"/>
    <mergeCell ref="C120:C123"/>
    <mergeCell ref="D120:D123"/>
    <mergeCell ref="L120:L123"/>
    <mergeCell ref="M120:M123"/>
    <mergeCell ref="A96:A99"/>
    <mergeCell ref="A56:A59"/>
    <mergeCell ref="B56:B59"/>
  </mergeCells>
  <printOptions horizontalCentered="1" verticalCentered="1"/>
  <pageMargins left="0.984251968503937" right="0.5905511811023623" top="0" bottom="0.7086614173228347" header="0.31496062992125984" footer="0.5118110236220472"/>
  <pageSetup fitToHeight="2" horizontalDpi="600" verticalDpi="600" orientation="landscape" paperSize="9" scale="39" r:id="rId3"/>
  <rowBreaks count="3" manualBreakCount="3">
    <brk id="47" max="15" man="1"/>
    <brk id="87" max="15" man="1"/>
    <brk id="127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4"/>
  <sheetViews>
    <sheetView view="pageBreakPreview" zoomScale="75" zoomScaleNormal="56" zoomScaleSheetLayoutView="75" zoomScalePageLayoutView="60" workbookViewId="0" topLeftCell="A38">
      <selection activeCell="B45" sqref="B45:B48"/>
    </sheetView>
  </sheetViews>
  <sheetFormatPr defaultColWidth="9.140625" defaultRowHeight="15"/>
  <cols>
    <col min="1" max="1" width="11.00390625" style="0" customWidth="1"/>
    <col min="2" max="2" width="62.57421875" style="0" customWidth="1"/>
    <col min="3" max="3" width="23.57421875" style="0" customWidth="1"/>
    <col min="4" max="4" width="19.7109375" style="0" customWidth="1"/>
    <col min="5" max="5" width="17.7109375" style="0" customWidth="1"/>
    <col min="6" max="6" width="19.57421875" style="0" customWidth="1"/>
    <col min="7" max="7" width="0" style="0" hidden="1" customWidth="1"/>
    <col min="8" max="8" width="0.71875" style="0" hidden="1" customWidth="1"/>
    <col min="9" max="9" width="22.28125" style="0" customWidth="1"/>
    <col min="10" max="10" width="22.7109375" style="0" customWidth="1"/>
    <col min="11" max="11" width="21.421875" style="0" customWidth="1"/>
    <col min="12" max="12" width="44.00390625" style="0" customWidth="1"/>
    <col min="13" max="13" width="18.28125" style="0" customWidth="1"/>
    <col min="14" max="14" width="0" style="0" hidden="1" customWidth="1"/>
    <col min="15" max="15" width="2.7109375" style="0" hidden="1" customWidth="1"/>
    <col min="16" max="16" width="36.421875" style="0" customWidth="1"/>
    <col min="17" max="17" width="30.00390625" style="0" customWidth="1"/>
    <col min="19" max="19" width="23.7109375" style="0" customWidth="1"/>
  </cols>
  <sheetData>
    <row r="1" spans="1:19" ht="24.75" customHeight="1">
      <c r="A1" s="103"/>
      <c r="B1" s="104"/>
      <c r="C1" s="104"/>
      <c r="D1" s="105"/>
      <c r="E1" s="106"/>
      <c r="F1" s="107"/>
      <c r="G1" s="108"/>
      <c r="H1" s="108"/>
      <c r="I1" s="109"/>
      <c r="J1" s="109"/>
      <c r="K1" s="109"/>
      <c r="L1" s="133"/>
      <c r="M1" s="328" t="s">
        <v>217</v>
      </c>
      <c r="N1" s="245"/>
      <c r="O1" s="245"/>
      <c r="P1" s="245"/>
      <c r="Q1" s="186"/>
      <c r="R1" s="186"/>
      <c r="S1" s="186"/>
    </row>
    <row r="2" spans="1:19" ht="22.5" customHeight="1">
      <c r="A2" s="103"/>
      <c r="B2" s="104"/>
      <c r="C2" s="104"/>
      <c r="D2" s="105"/>
      <c r="E2" s="106"/>
      <c r="F2" s="107"/>
      <c r="G2" s="108"/>
      <c r="H2" s="108"/>
      <c r="I2" s="109"/>
      <c r="J2" s="109"/>
      <c r="K2" s="109"/>
      <c r="L2" s="134" t="s">
        <v>116</v>
      </c>
      <c r="M2" s="331" t="s">
        <v>218</v>
      </c>
      <c r="N2" s="332"/>
      <c r="O2" s="332"/>
      <c r="P2" s="332"/>
      <c r="Q2" s="186"/>
      <c r="R2" s="186"/>
      <c r="S2" s="186"/>
    </row>
    <row r="3" spans="1:19" ht="22.5" customHeight="1">
      <c r="A3" s="103"/>
      <c r="B3" s="104"/>
      <c r="C3" s="104"/>
      <c r="D3" s="105"/>
      <c r="E3" s="106"/>
      <c r="F3" s="107"/>
      <c r="G3" s="108"/>
      <c r="H3" s="108"/>
      <c r="I3" s="109"/>
      <c r="J3" s="109"/>
      <c r="K3" s="109"/>
      <c r="L3" s="134"/>
      <c r="M3" s="331" t="s">
        <v>221</v>
      </c>
      <c r="N3" s="332"/>
      <c r="O3" s="332"/>
      <c r="P3" s="332"/>
      <c r="Q3" s="191"/>
      <c r="R3" s="191"/>
      <c r="S3" s="191"/>
    </row>
    <row r="4" spans="1:19" ht="24.75" customHeight="1">
      <c r="A4" s="103"/>
      <c r="B4" s="104"/>
      <c r="C4" s="104"/>
      <c r="D4" s="105"/>
      <c r="E4" s="106"/>
      <c r="F4" s="107"/>
      <c r="G4" s="108"/>
      <c r="H4" s="108"/>
      <c r="I4" s="109"/>
      <c r="J4" s="109"/>
      <c r="K4" s="109"/>
      <c r="L4" s="134"/>
      <c r="M4" s="331" t="s">
        <v>220</v>
      </c>
      <c r="N4" s="332"/>
      <c r="O4" s="332"/>
      <c r="P4" s="332"/>
      <c r="Q4" s="191"/>
      <c r="R4" s="191"/>
      <c r="S4" s="191"/>
    </row>
    <row r="5" spans="1:19" ht="27.75" customHeight="1">
      <c r="A5" s="103"/>
      <c r="B5" s="104"/>
      <c r="C5" s="104"/>
      <c r="D5" s="105"/>
      <c r="E5" s="106"/>
      <c r="F5" s="107"/>
      <c r="G5" s="108"/>
      <c r="H5" s="108"/>
      <c r="I5" s="109"/>
      <c r="J5" s="109"/>
      <c r="K5" s="109"/>
      <c r="L5" s="134"/>
      <c r="M5" s="328" t="s">
        <v>219</v>
      </c>
      <c r="N5" s="245"/>
      <c r="O5" s="245"/>
      <c r="P5" s="245"/>
      <c r="Q5" s="186"/>
      <c r="R5" s="186"/>
      <c r="S5" s="186"/>
    </row>
    <row r="6" spans="1:16" ht="18" customHeight="1">
      <c r="A6" s="103"/>
      <c r="B6" s="104"/>
      <c r="C6" s="104"/>
      <c r="D6" s="105"/>
      <c r="E6" s="106"/>
      <c r="F6" s="107"/>
      <c r="G6" s="108"/>
      <c r="H6" s="108"/>
      <c r="I6" s="109"/>
      <c r="J6" s="109"/>
      <c r="K6" s="109"/>
      <c r="L6" s="134"/>
      <c r="M6" s="134"/>
      <c r="N6" s="134"/>
      <c r="O6" s="134"/>
      <c r="P6" s="134"/>
    </row>
    <row r="7" spans="1:16" ht="18.75" customHeight="1" hidden="1">
      <c r="A7" s="110"/>
      <c r="B7" s="111"/>
      <c r="C7" s="111"/>
      <c r="D7" s="112"/>
      <c r="E7" s="113"/>
      <c r="F7" s="107"/>
      <c r="G7" s="114"/>
      <c r="H7" s="114"/>
      <c r="I7" s="115"/>
      <c r="J7" s="115"/>
      <c r="K7" s="115"/>
      <c r="L7" s="134"/>
      <c r="M7" s="134"/>
      <c r="N7" s="134"/>
      <c r="O7" s="134"/>
      <c r="P7" s="134"/>
    </row>
    <row r="8" spans="1:16" ht="15">
      <c r="A8" s="333" t="s">
        <v>121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</row>
    <row r="9" spans="1:16" ht="15">
      <c r="A9" s="334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</row>
    <row r="10" spans="1:16" ht="12" customHeigh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</row>
    <row r="11" spans="1:16" ht="15.75" customHeight="1">
      <c r="A11" s="236" t="s">
        <v>8</v>
      </c>
      <c r="B11" s="310" t="s">
        <v>28</v>
      </c>
      <c r="C11" s="310" t="s">
        <v>117</v>
      </c>
      <c r="D11" s="236" t="s">
        <v>118</v>
      </c>
      <c r="E11" s="236" t="s">
        <v>138</v>
      </c>
      <c r="F11" s="313" t="s">
        <v>139</v>
      </c>
      <c r="G11" s="314"/>
      <c r="H11" s="314"/>
      <c r="I11" s="314"/>
      <c r="J11" s="314"/>
      <c r="K11" s="315"/>
      <c r="L11" s="298" t="s">
        <v>142</v>
      </c>
      <c r="M11" s="298" t="s">
        <v>33</v>
      </c>
      <c r="N11" s="1"/>
      <c r="O11" s="1"/>
      <c r="P11" s="298" t="s">
        <v>143</v>
      </c>
    </row>
    <row r="12" spans="1:16" ht="15.75" customHeight="1">
      <c r="A12" s="237"/>
      <c r="B12" s="311"/>
      <c r="C12" s="206"/>
      <c r="D12" s="237"/>
      <c r="E12" s="237"/>
      <c r="F12" s="316"/>
      <c r="G12" s="317"/>
      <c r="H12" s="317"/>
      <c r="I12" s="317"/>
      <c r="J12" s="317"/>
      <c r="K12" s="318"/>
      <c r="L12" s="299"/>
      <c r="M12" s="299"/>
      <c r="N12" s="1"/>
      <c r="O12" s="1"/>
      <c r="P12" s="299"/>
    </row>
    <row r="13" spans="1:16" ht="78.75">
      <c r="A13" s="309"/>
      <c r="B13" s="312"/>
      <c r="C13" s="207"/>
      <c r="D13" s="309"/>
      <c r="E13" s="309"/>
      <c r="F13" s="2" t="s">
        <v>140</v>
      </c>
      <c r="G13" s="2" t="s">
        <v>29</v>
      </c>
      <c r="H13" s="2" t="s">
        <v>30</v>
      </c>
      <c r="I13" s="4" t="s">
        <v>6</v>
      </c>
      <c r="J13" s="4" t="s">
        <v>141</v>
      </c>
      <c r="K13" s="4" t="s">
        <v>124</v>
      </c>
      <c r="L13" s="299"/>
      <c r="M13" s="299"/>
      <c r="N13" s="1">
        <v>2014</v>
      </c>
      <c r="O13" s="1">
        <v>2015</v>
      </c>
      <c r="P13" s="299"/>
    </row>
    <row r="14" spans="1:16" ht="36">
      <c r="A14" s="116" t="s">
        <v>15</v>
      </c>
      <c r="B14" s="116" t="s">
        <v>9</v>
      </c>
      <c r="C14" s="116" t="s">
        <v>10</v>
      </c>
      <c r="D14" s="116" t="s">
        <v>11</v>
      </c>
      <c r="E14" s="116" t="s">
        <v>16</v>
      </c>
      <c r="F14" s="116" t="s">
        <v>17</v>
      </c>
      <c r="G14" s="116" t="s">
        <v>16</v>
      </c>
      <c r="H14" s="116" t="s">
        <v>17</v>
      </c>
      <c r="I14" s="117" t="s">
        <v>18</v>
      </c>
      <c r="J14" s="117" t="s">
        <v>19</v>
      </c>
      <c r="K14" s="117" t="s">
        <v>22</v>
      </c>
      <c r="L14" s="116" t="s">
        <v>23</v>
      </c>
      <c r="M14" s="116" t="s">
        <v>24</v>
      </c>
      <c r="N14" s="116" t="s">
        <v>23</v>
      </c>
      <c r="O14" s="116" t="s">
        <v>24</v>
      </c>
      <c r="P14" s="116" t="s">
        <v>25</v>
      </c>
    </row>
    <row r="15" spans="1:16" ht="19.5" customHeight="1">
      <c r="A15" s="300" t="s">
        <v>34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</row>
    <row r="16" spans="1:16" ht="21" customHeight="1">
      <c r="A16" s="300" t="s">
        <v>35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</row>
    <row r="17" spans="1:16" ht="19.5" customHeight="1">
      <c r="A17" s="276" t="s">
        <v>0</v>
      </c>
      <c r="B17" s="278" t="s">
        <v>82</v>
      </c>
      <c r="C17" s="277" t="s">
        <v>44</v>
      </c>
      <c r="D17" s="277" t="s">
        <v>122</v>
      </c>
      <c r="E17" s="150">
        <v>2021</v>
      </c>
      <c r="F17" s="3">
        <f>I17+J17+K17</f>
        <v>444909669.03000003</v>
      </c>
      <c r="G17" s="3" t="e">
        <f>SUM(G18:G20)</f>
        <v>#REF!</v>
      </c>
      <c r="H17" s="3" t="e">
        <f>SUM(H18:H20)</f>
        <v>#REF!</v>
      </c>
      <c r="I17" s="3">
        <f>I21+I29+I33+I37+I45+I49+I53+I61+I25+I57</f>
        <v>134204237.03000002</v>
      </c>
      <c r="J17" s="3">
        <f aca="true" t="shared" si="0" ref="J17:K20">J21+J29+J33+J37+J45+J49+J53+J61+J25+J41</f>
        <v>310705432</v>
      </c>
      <c r="K17" s="3">
        <f t="shared" si="0"/>
        <v>0</v>
      </c>
      <c r="L17" s="303" t="s">
        <v>113</v>
      </c>
      <c r="M17" s="293" t="s">
        <v>40</v>
      </c>
      <c r="N17" s="119">
        <f>N21</f>
        <v>0</v>
      </c>
      <c r="O17" s="119">
        <f>O21</f>
        <v>0</v>
      </c>
      <c r="P17" s="153">
        <v>1835.5</v>
      </c>
    </row>
    <row r="18" spans="1:16" ht="18" customHeight="1">
      <c r="A18" s="277"/>
      <c r="B18" s="279"/>
      <c r="C18" s="277"/>
      <c r="D18" s="277"/>
      <c r="E18" s="150">
        <v>2022</v>
      </c>
      <c r="F18" s="3">
        <f>I18+J18+K18</f>
        <v>458020633.98</v>
      </c>
      <c r="G18" s="118" t="e">
        <f>#REF!+#REF!+#REF!+#REF!</f>
        <v>#REF!</v>
      </c>
      <c r="H18" s="118" t="e">
        <f>#REF!+#REF!+#REF!+#REF!</f>
        <v>#REF!</v>
      </c>
      <c r="I18" s="3">
        <f>I22+I30+I34+I38+I46+I50+I54+I62+I26+I58</f>
        <v>163815733.98</v>
      </c>
      <c r="J18" s="3">
        <f t="shared" si="0"/>
        <v>294204900</v>
      </c>
      <c r="K18" s="3">
        <f t="shared" si="0"/>
        <v>0</v>
      </c>
      <c r="L18" s="304"/>
      <c r="M18" s="294"/>
      <c r="N18" s="120">
        <f>N24</f>
        <v>0</v>
      </c>
      <c r="O18" s="120">
        <f>O24</f>
        <v>0</v>
      </c>
      <c r="P18" s="153">
        <v>1835.5</v>
      </c>
    </row>
    <row r="19" spans="1:16" ht="18" customHeight="1">
      <c r="A19" s="277"/>
      <c r="B19" s="279"/>
      <c r="C19" s="277"/>
      <c r="D19" s="277"/>
      <c r="E19" s="150">
        <v>2023</v>
      </c>
      <c r="F19" s="3">
        <f>I19+J19+K19</f>
        <v>464172106.62</v>
      </c>
      <c r="G19" s="118"/>
      <c r="H19" s="118"/>
      <c r="I19" s="3">
        <f>I23+I31+I35+I39+I47+I51+I55+I63+I27+I59</f>
        <v>165366806.62</v>
      </c>
      <c r="J19" s="3">
        <f t="shared" si="0"/>
        <v>298805300</v>
      </c>
      <c r="K19" s="3">
        <f t="shared" si="0"/>
        <v>0</v>
      </c>
      <c r="L19" s="304"/>
      <c r="M19" s="294"/>
      <c r="N19" s="120"/>
      <c r="O19" s="120"/>
      <c r="P19" s="153">
        <v>1835.5</v>
      </c>
    </row>
    <row r="20" spans="1:16" ht="20.25" customHeight="1">
      <c r="A20" s="301"/>
      <c r="B20" s="302"/>
      <c r="C20" s="301"/>
      <c r="D20" s="301"/>
      <c r="E20" s="150">
        <v>2024</v>
      </c>
      <c r="F20" s="3">
        <f>I20+J20+K20</f>
        <v>472911362.78</v>
      </c>
      <c r="G20" s="3" t="e">
        <f>#REF!+#REF!+#REF!</f>
        <v>#REF!</v>
      </c>
      <c r="H20" s="3" t="e">
        <f>#REF!+#REF!+#REF!</f>
        <v>#REF!</v>
      </c>
      <c r="I20" s="3">
        <f>I24+I32+I36+I40+I48+I52+I56+I64+I28+I60</f>
        <v>167432262.78</v>
      </c>
      <c r="J20" s="3">
        <f t="shared" si="0"/>
        <v>305479100</v>
      </c>
      <c r="K20" s="3">
        <f t="shared" si="0"/>
        <v>0</v>
      </c>
      <c r="L20" s="305"/>
      <c r="M20" s="295"/>
      <c r="N20" s="121">
        <f>N37</f>
        <v>0</v>
      </c>
      <c r="O20" s="121">
        <f>O37</f>
        <v>0</v>
      </c>
      <c r="P20" s="153">
        <v>1835.5</v>
      </c>
    </row>
    <row r="21" spans="1:17" ht="33" customHeight="1">
      <c r="A21" s="205" t="s">
        <v>46</v>
      </c>
      <c r="B21" s="208" t="s">
        <v>12</v>
      </c>
      <c r="C21" s="205" t="s">
        <v>44</v>
      </c>
      <c r="D21" s="205" t="s">
        <v>122</v>
      </c>
      <c r="E21" s="151">
        <v>2021</v>
      </c>
      <c r="F21" s="172">
        <f aca="true" t="shared" si="1" ref="F21:F77">I21+J21+K21</f>
        <v>91795521.21000001</v>
      </c>
      <c r="G21" s="172"/>
      <c r="H21" s="172"/>
      <c r="I21" s="146">
        <f>85850426.79+2182591.7+3762502.72</f>
        <v>91795521.21000001</v>
      </c>
      <c r="J21" s="146">
        <v>0</v>
      </c>
      <c r="K21" s="146">
        <v>0</v>
      </c>
      <c r="L21" s="217" t="s">
        <v>119</v>
      </c>
      <c r="M21" s="220" t="s">
        <v>36</v>
      </c>
      <c r="N21" s="220"/>
      <c r="O21" s="220"/>
      <c r="P21" s="173">
        <v>100</v>
      </c>
      <c r="Q21" s="179"/>
    </row>
    <row r="22" spans="1:17" ht="33" customHeight="1">
      <c r="A22" s="223"/>
      <c r="B22" s="225"/>
      <c r="C22" s="223"/>
      <c r="D22" s="223"/>
      <c r="E22" s="152">
        <v>2022</v>
      </c>
      <c r="F22" s="172">
        <f t="shared" si="1"/>
        <v>163815733.98</v>
      </c>
      <c r="G22" s="192"/>
      <c r="H22" s="192"/>
      <c r="I22" s="146">
        <v>163815733.98</v>
      </c>
      <c r="J22" s="139">
        <v>0</v>
      </c>
      <c r="K22" s="139">
        <v>0</v>
      </c>
      <c r="L22" s="224"/>
      <c r="M22" s="221"/>
      <c r="N22" s="221"/>
      <c r="O22" s="221"/>
      <c r="P22" s="173">
        <v>100</v>
      </c>
      <c r="Q22" s="179">
        <v>23000</v>
      </c>
    </row>
    <row r="23" spans="1:17" ht="33.75" customHeight="1">
      <c r="A23" s="223"/>
      <c r="B23" s="225"/>
      <c r="C23" s="223"/>
      <c r="D23" s="223"/>
      <c r="E23" s="152">
        <v>2023</v>
      </c>
      <c r="F23" s="172">
        <f t="shared" si="1"/>
        <v>165366806.62</v>
      </c>
      <c r="G23" s="192"/>
      <c r="H23" s="192"/>
      <c r="I23" s="146">
        <v>165366806.62</v>
      </c>
      <c r="J23" s="139">
        <v>0</v>
      </c>
      <c r="K23" s="139">
        <v>0</v>
      </c>
      <c r="L23" s="224"/>
      <c r="M23" s="221"/>
      <c r="N23" s="221"/>
      <c r="O23" s="221"/>
      <c r="P23" s="173">
        <v>100</v>
      </c>
      <c r="Q23" s="179"/>
    </row>
    <row r="24" spans="1:17" ht="33" customHeight="1">
      <c r="A24" s="223"/>
      <c r="B24" s="225"/>
      <c r="C24" s="223"/>
      <c r="D24" s="223"/>
      <c r="E24" s="152">
        <v>2024</v>
      </c>
      <c r="F24" s="192">
        <f t="shared" si="1"/>
        <v>167432262.78</v>
      </c>
      <c r="G24" s="192"/>
      <c r="H24" s="192"/>
      <c r="I24" s="139">
        <v>167432262.78</v>
      </c>
      <c r="J24" s="139">
        <v>0</v>
      </c>
      <c r="K24" s="139">
        <v>0</v>
      </c>
      <c r="L24" s="224"/>
      <c r="M24" s="221"/>
      <c r="N24" s="221"/>
      <c r="O24" s="221"/>
      <c r="P24" s="173">
        <v>100</v>
      </c>
      <c r="Q24" s="179"/>
    </row>
    <row r="25" spans="1:17" ht="29.25" customHeight="1">
      <c r="A25" s="205" t="s">
        <v>47</v>
      </c>
      <c r="B25" s="208" t="s">
        <v>182</v>
      </c>
      <c r="C25" s="205" t="s">
        <v>44</v>
      </c>
      <c r="D25" s="205" t="s">
        <v>122</v>
      </c>
      <c r="E25" s="151">
        <v>2021</v>
      </c>
      <c r="F25" s="172">
        <f>I25+J25+K25</f>
        <v>276557000</v>
      </c>
      <c r="G25" s="172"/>
      <c r="H25" s="172"/>
      <c r="I25" s="146">
        <v>0</v>
      </c>
      <c r="J25" s="146">
        <f>250670600+25886400</f>
        <v>276557000</v>
      </c>
      <c r="K25" s="146">
        <v>0</v>
      </c>
      <c r="L25" s="217" t="s">
        <v>186</v>
      </c>
      <c r="M25" s="220" t="s">
        <v>40</v>
      </c>
      <c r="N25" s="220"/>
      <c r="O25" s="220"/>
      <c r="P25" s="173">
        <v>1835.5</v>
      </c>
      <c r="Q25" s="179"/>
    </row>
    <row r="26" spans="1:17" ht="29.25" customHeight="1">
      <c r="A26" s="223"/>
      <c r="B26" s="225"/>
      <c r="C26" s="223"/>
      <c r="D26" s="223"/>
      <c r="E26" s="152">
        <v>2022</v>
      </c>
      <c r="F26" s="172">
        <f>I26+J26+K26</f>
        <v>282093400</v>
      </c>
      <c r="G26" s="192"/>
      <c r="H26" s="192"/>
      <c r="I26" s="146">
        <v>0</v>
      </c>
      <c r="J26" s="139">
        <v>282093400</v>
      </c>
      <c r="K26" s="139">
        <v>0</v>
      </c>
      <c r="L26" s="224"/>
      <c r="M26" s="221"/>
      <c r="N26" s="221"/>
      <c r="O26" s="221"/>
      <c r="P26" s="173">
        <v>1835.5</v>
      </c>
      <c r="Q26" s="179"/>
    </row>
    <row r="27" spans="1:17" ht="29.25" customHeight="1">
      <c r="A27" s="223"/>
      <c r="B27" s="225"/>
      <c r="C27" s="223"/>
      <c r="D27" s="223"/>
      <c r="E27" s="152">
        <v>2023</v>
      </c>
      <c r="F27" s="172">
        <f>I27+J27+K27</f>
        <v>286693800</v>
      </c>
      <c r="G27" s="192"/>
      <c r="H27" s="192"/>
      <c r="I27" s="146">
        <v>0</v>
      </c>
      <c r="J27" s="139">
        <v>286693800</v>
      </c>
      <c r="K27" s="139">
        <v>0</v>
      </c>
      <c r="L27" s="224"/>
      <c r="M27" s="221"/>
      <c r="N27" s="221"/>
      <c r="O27" s="221"/>
      <c r="P27" s="173">
        <v>1835.5</v>
      </c>
      <c r="Q27" s="179">
        <v>75310</v>
      </c>
    </row>
    <row r="28" spans="1:17" ht="30" customHeight="1">
      <c r="A28" s="223"/>
      <c r="B28" s="225"/>
      <c r="C28" s="223"/>
      <c r="D28" s="223"/>
      <c r="E28" s="152">
        <v>2024</v>
      </c>
      <c r="F28" s="192">
        <f>I28+J28+K28</f>
        <v>293367600</v>
      </c>
      <c r="G28" s="192"/>
      <c r="H28" s="192"/>
      <c r="I28" s="139">
        <v>0</v>
      </c>
      <c r="J28" s="139">
        <v>293367600</v>
      </c>
      <c r="K28" s="139">
        <v>0</v>
      </c>
      <c r="L28" s="224"/>
      <c r="M28" s="221"/>
      <c r="N28" s="221"/>
      <c r="O28" s="221"/>
      <c r="P28" s="173">
        <v>1835.5</v>
      </c>
      <c r="Q28" s="179"/>
    </row>
    <row r="29" spans="1:17" ht="41.25" customHeight="1">
      <c r="A29" s="205" t="s">
        <v>48</v>
      </c>
      <c r="B29" s="208" t="s">
        <v>151</v>
      </c>
      <c r="C29" s="205" t="s">
        <v>44</v>
      </c>
      <c r="D29" s="205" t="s">
        <v>122</v>
      </c>
      <c r="E29" s="151">
        <v>2021</v>
      </c>
      <c r="F29" s="172">
        <f t="shared" si="1"/>
        <v>295400</v>
      </c>
      <c r="G29" s="172"/>
      <c r="H29" s="172"/>
      <c r="I29" s="146">
        <v>0</v>
      </c>
      <c r="J29" s="146">
        <f>311400-16000</f>
        <v>295400</v>
      </c>
      <c r="K29" s="146">
        <v>0</v>
      </c>
      <c r="L29" s="217" t="s">
        <v>164</v>
      </c>
      <c r="M29" s="220" t="s">
        <v>40</v>
      </c>
      <c r="N29" s="148"/>
      <c r="O29" s="148"/>
      <c r="P29" s="173">
        <v>1700</v>
      </c>
      <c r="Q29" s="297" t="s">
        <v>174</v>
      </c>
    </row>
    <row r="30" spans="1:17" ht="43.5" customHeight="1">
      <c r="A30" s="206"/>
      <c r="B30" s="213"/>
      <c r="C30" s="206"/>
      <c r="D30" s="206"/>
      <c r="E30" s="151">
        <v>2022</v>
      </c>
      <c r="F30" s="172">
        <f t="shared" si="1"/>
        <v>295400</v>
      </c>
      <c r="G30" s="172"/>
      <c r="H30" s="172"/>
      <c r="I30" s="146">
        <v>0</v>
      </c>
      <c r="J30" s="146">
        <f>311400-16000</f>
        <v>295400</v>
      </c>
      <c r="K30" s="146">
        <v>0</v>
      </c>
      <c r="L30" s="213"/>
      <c r="M30" s="206"/>
      <c r="N30" s="148"/>
      <c r="O30" s="148"/>
      <c r="P30" s="173">
        <v>1700</v>
      </c>
      <c r="Q30" s="231"/>
    </row>
    <row r="31" spans="1:17" ht="49.5" customHeight="1">
      <c r="A31" s="206"/>
      <c r="B31" s="213"/>
      <c r="C31" s="206"/>
      <c r="D31" s="206"/>
      <c r="E31" s="151">
        <v>2023</v>
      </c>
      <c r="F31" s="172">
        <f t="shared" si="1"/>
        <v>295400</v>
      </c>
      <c r="G31" s="172"/>
      <c r="H31" s="172"/>
      <c r="I31" s="146">
        <v>0</v>
      </c>
      <c r="J31" s="146">
        <f>311400-16000</f>
        <v>295400</v>
      </c>
      <c r="K31" s="146">
        <v>0</v>
      </c>
      <c r="L31" s="213"/>
      <c r="M31" s="206"/>
      <c r="N31" s="148"/>
      <c r="O31" s="148"/>
      <c r="P31" s="173">
        <v>1700</v>
      </c>
      <c r="Q31" s="231"/>
    </row>
    <row r="32" spans="1:17" ht="57" customHeight="1">
      <c r="A32" s="207"/>
      <c r="B32" s="214"/>
      <c r="C32" s="207"/>
      <c r="D32" s="207"/>
      <c r="E32" s="151">
        <v>2024</v>
      </c>
      <c r="F32" s="172">
        <f t="shared" si="1"/>
        <v>295400</v>
      </c>
      <c r="G32" s="172"/>
      <c r="H32" s="172"/>
      <c r="I32" s="146">
        <v>0</v>
      </c>
      <c r="J32" s="146">
        <f>311400-16000</f>
        <v>295400</v>
      </c>
      <c r="K32" s="146">
        <v>0</v>
      </c>
      <c r="L32" s="214"/>
      <c r="M32" s="207"/>
      <c r="N32" s="148"/>
      <c r="O32" s="148"/>
      <c r="P32" s="173">
        <v>1700</v>
      </c>
      <c r="Q32" s="231"/>
    </row>
    <row r="33" spans="1:17" ht="30" customHeight="1">
      <c r="A33" s="205" t="s">
        <v>126</v>
      </c>
      <c r="B33" s="208" t="s">
        <v>152</v>
      </c>
      <c r="C33" s="205" t="s">
        <v>44</v>
      </c>
      <c r="D33" s="205" t="s">
        <v>122</v>
      </c>
      <c r="E33" s="151">
        <v>2021</v>
      </c>
      <c r="F33" s="172">
        <f t="shared" si="1"/>
        <v>11816100</v>
      </c>
      <c r="G33" s="172"/>
      <c r="H33" s="172"/>
      <c r="I33" s="146">
        <v>0</v>
      </c>
      <c r="J33" s="146">
        <f>12454400-638300</f>
        <v>11816100</v>
      </c>
      <c r="K33" s="146">
        <v>0</v>
      </c>
      <c r="L33" s="217" t="s">
        <v>128</v>
      </c>
      <c r="M33" s="220" t="s">
        <v>36</v>
      </c>
      <c r="N33" s="148"/>
      <c r="O33" s="148"/>
      <c r="P33" s="173">
        <v>100</v>
      </c>
      <c r="Q33" s="243" t="s">
        <v>136</v>
      </c>
    </row>
    <row r="34" spans="1:17" ht="29.25" customHeight="1">
      <c r="A34" s="206"/>
      <c r="B34" s="213"/>
      <c r="C34" s="206"/>
      <c r="D34" s="206"/>
      <c r="E34" s="151">
        <v>2022</v>
      </c>
      <c r="F34" s="172">
        <f t="shared" si="1"/>
        <v>11816100</v>
      </c>
      <c r="G34" s="193"/>
      <c r="H34" s="193"/>
      <c r="I34" s="154">
        <v>0</v>
      </c>
      <c r="J34" s="146">
        <f>12454400-638300</f>
        <v>11816100</v>
      </c>
      <c r="K34" s="154">
        <v>0</v>
      </c>
      <c r="L34" s="213"/>
      <c r="M34" s="206"/>
      <c r="N34" s="181"/>
      <c r="O34" s="181"/>
      <c r="P34" s="171">
        <v>100</v>
      </c>
      <c r="Q34" s="231"/>
    </row>
    <row r="35" spans="1:17" ht="28.5" customHeight="1">
      <c r="A35" s="206"/>
      <c r="B35" s="213"/>
      <c r="C35" s="206"/>
      <c r="D35" s="206"/>
      <c r="E35" s="151">
        <v>2023</v>
      </c>
      <c r="F35" s="172">
        <f t="shared" si="1"/>
        <v>11816100</v>
      </c>
      <c r="G35" s="192"/>
      <c r="H35" s="192"/>
      <c r="I35" s="139">
        <v>0</v>
      </c>
      <c r="J35" s="146">
        <f>12454400-638300</f>
        <v>11816100</v>
      </c>
      <c r="K35" s="139">
        <v>0</v>
      </c>
      <c r="L35" s="213"/>
      <c r="M35" s="206"/>
      <c r="N35" s="180"/>
      <c r="O35" s="180"/>
      <c r="P35" s="170">
        <v>100</v>
      </c>
      <c r="Q35" s="231"/>
    </row>
    <row r="36" spans="1:17" ht="23.25" customHeight="1">
      <c r="A36" s="207"/>
      <c r="B36" s="214"/>
      <c r="C36" s="207"/>
      <c r="D36" s="207"/>
      <c r="E36" s="151">
        <v>2024</v>
      </c>
      <c r="F36" s="172">
        <f t="shared" si="1"/>
        <v>11816100</v>
      </c>
      <c r="G36" s="192"/>
      <c r="H36" s="192"/>
      <c r="I36" s="139">
        <v>0</v>
      </c>
      <c r="J36" s="146">
        <f>12454400-638300</f>
        <v>11816100</v>
      </c>
      <c r="K36" s="139">
        <v>0</v>
      </c>
      <c r="L36" s="214"/>
      <c r="M36" s="207"/>
      <c r="N36" s="180"/>
      <c r="O36" s="180"/>
      <c r="P36" s="170">
        <v>100</v>
      </c>
      <c r="Q36" s="231"/>
    </row>
    <row r="37" spans="1:17" ht="32.25" customHeight="1">
      <c r="A37" s="205" t="s">
        <v>127</v>
      </c>
      <c r="B37" s="208" t="s">
        <v>178</v>
      </c>
      <c r="C37" s="205" t="s">
        <v>44</v>
      </c>
      <c r="D37" s="205" t="s">
        <v>122</v>
      </c>
      <c r="E37" s="151">
        <v>2021</v>
      </c>
      <c r="F37" s="172">
        <f t="shared" si="1"/>
        <v>11710283</v>
      </c>
      <c r="G37" s="192"/>
      <c r="H37" s="192"/>
      <c r="I37" s="192">
        <f>13333099-1622816</f>
        <v>11710283</v>
      </c>
      <c r="J37" s="192">
        <v>0</v>
      </c>
      <c r="K37" s="192">
        <v>0</v>
      </c>
      <c r="L37" s="217" t="s">
        <v>179</v>
      </c>
      <c r="M37" s="220" t="s">
        <v>87</v>
      </c>
      <c r="N37" s="220"/>
      <c r="O37" s="220"/>
      <c r="P37" s="173">
        <v>0</v>
      </c>
      <c r="Q37" s="231" t="s">
        <v>175</v>
      </c>
    </row>
    <row r="38" spans="1:17" ht="32.25" customHeight="1">
      <c r="A38" s="223"/>
      <c r="B38" s="225"/>
      <c r="C38" s="206"/>
      <c r="D38" s="206"/>
      <c r="E38" s="151">
        <v>2022</v>
      </c>
      <c r="F38" s="172">
        <f t="shared" si="1"/>
        <v>0</v>
      </c>
      <c r="G38" s="192"/>
      <c r="H38" s="192"/>
      <c r="I38" s="192">
        <v>0</v>
      </c>
      <c r="J38" s="192">
        <v>0</v>
      </c>
      <c r="K38" s="192">
        <v>0</v>
      </c>
      <c r="L38" s="224"/>
      <c r="M38" s="221"/>
      <c r="N38" s="221"/>
      <c r="O38" s="221"/>
      <c r="P38" s="173">
        <v>0</v>
      </c>
      <c r="Q38" s="231"/>
    </row>
    <row r="39" spans="1:17" ht="32.25" customHeight="1">
      <c r="A39" s="223"/>
      <c r="B39" s="225"/>
      <c r="C39" s="206"/>
      <c r="D39" s="206"/>
      <c r="E39" s="151">
        <v>2023</v>
      </c>
      <c r="F39" s="172">
        <f t="shared" si="1"/>
        <v>0</v>
      </c>
      <c r="G39" s="192"/>
      <c r="H39" s="192"/>
      <c r="I39" s="192">
        <v>0</v>
      </c>
      <c r="J39" s="192">
        <v>0</v>
      </c>
      <c r="K39" s="192">
        <v>0</v>
      </c>
      <c r="L39" s="224"/>
      <c r="M39" s="221"/>
      <c r="N39" s="221"/>
      <c r="O39" s="221"/>
      <c r="P39" s="173">
        <v>0</v>
      </c>
      <c r="Q39" s="231"/>
    </row>
    <row r="40" spans="1:17" ht="26.25" customHeight="1">
      <c r="A40" s="227"/>
      <c r="B40" s="226"/>
      <c r="C40" s="207"/>
      <c r="D40" s="207"/>
      <c r="E40" s="151">
        <v>2024</v>
      </c>
      <c r="F40" s="172">
        <f t="shared" si="1"/>
        <v>0</v>
      </c>
      <c r="G40" s="129"/>
      <c r="H40" s="129"/>
      <c r="I40" s="129">
        <v>0</v>
      </c>
      <c r="J40" s="129">
        <v>0</v>
      </c>
      <c r="K40" s="129">
        <v>0</v>
      </c>
      <c r="L40" s="296"/>
      <c r="M40" s="222"/>
      <c r="N40" s="222"/>
      <c r="O40" s="222"/>
      <c r="P40" s="173">
        <v>0</v>
      </c>
      <c r="Q40" s="231"/>
    </row>
    <row r="41" spans="1:17" ht="26.25" customHeight="1">
      <c r="A41" s="205" t="s">
        <v>165</v>
      </c>
      <c r="B41" s="208" t="s">
        <v>153</v>
      </c>
      <c r="C41" s="205" t="s">
        <v>44</v>
      </c>
      <c r="D41" s="205" t="s">
        <v>122</v>
      </c>
      <c r="E41" s="151">
        <v>2021</v>
      </c>
      <c r="F41" s="172">
        <f t="shared" si="1"/>
        <v>22036932</v>
      </c>
      <c r="G41" s="129"/>
      <c r="H41" s="129"/>
      <c r="I41" s="129">
        <v>0</v>
      </c>
      <c r="J41" s="192">
        <f>25090817-3053885</f>
        <v>22036932</v>
      </c>
      <c r="K41" s="129">
        <v>0</v>
      </c>
      <c r="L41" s="217" t="s">
        <v>180</v>
      </c>
      <c r="M41" s="202" t="s">
        <v>36</v>
      </c>
      <c r="N41" s="135"/>
      <c r="O41" s="135"/>
      <c r="P41" s="155">
        <v>100</v>
      </c>
      <c r="Q41" s="178"/>
    </row>
    <row r="42" spans="1:17" ht="26.25" customHeight="1">
      <c r="A42" s="223"/>
      <c r="B42" s="225"/>
      <c r="C42" s="206"/>
      <c r="D42" s="206"/>
      <c r="E42" s="151">
        <v>2022</v>
      </c>
      <c r="F42" s="172">
        <f t="shared" si="1"/>
        <v>0</v>
      </c>
      <c r="G42" s="129"/>
      <c r="H42" s="129"/>
      <c r="I42" s="129">
        <v>0</v>
      </c>
      <c r="J42" s="192">
        <v>0</v>
      </c>
      <c r="K42" s="129">
        <v>0</v>
      </c>
      <c r="L42" s="213"/>
      <c r="M42" s="228"/>
      <c r="N42" s="135"/>
      <c r="O42" s="135"/>
      <c r="P42" s="155">
        <v>0</v>
      </c>
      <c r="Q42" s="178">
        <v>71100</v>
      </c>
    </row>
    <row r="43" spans="1:17" ht="26.25" customHeight="1">
      <c r="A43" s="223"/>
      <c r="B43" s="225"/>
      <c r="C43" s="206"/>
      <c r="D43" s="206"/>
      <c r="E43" s="151">
        <v>2023</v>
      </c>
      <c r="F43" s="172">
        <f t="shared" si="1"/>
        <v>0</v>
      </c>
      <c r="G43" s="129"/>
      <c r="H43" s="129"/>
      <c r="I43" s="129">
        <v>0</v>
      </c>
      <c r="J43" s="192">
        <v>0</v>
      </c>
      <c r="K43" s="129">
        <v>0</v>
      </c>
      <c r="L43" s="213"/>
      <c r="M43" s="228"/>
      <c r="N43" s="135"/>
      <c r="O43" s="135"/>
      <c r="P43" s="155">
        <v>0</v>
      </c>
      <c r="Q43" s="178"/>
    </row>
    <row r="44" spans="1:17" ht="24" customHeight="1">
      <c r="A44" s="227"/>
      <c r="B44" s="226"/>
      <c r="C44" s="207"/>
      <c r="D44" s="207"/>
      <c r="E44" s="151">
        <v>2024</v>
      </c>
      <c r="F44" s="172">
        <f t="shared" si="1"/>
        <v>0</v>
      </c>
      <c r="G44" s="129"/>
      <c r="H44" s="129"/>
      <c r="I44" s="129">
        <v>0</v>
      </c>
      <c r="J44" s="129">
        <v>0</v>
      </c>
      <c r="K44" s="129">
        <v>0</v>
      </c>
      <c r="L44" s="214"/>
      <c r="M44" s="229"/>
      <c r="N44" s="135"/>
      <c r="O44" s="135"/>
      <c r="P44" s="155">
        <v>0</v>
      </c>
      <c r="Q44" s="178"/>
    </row>
    <row r="45" spans="1:17" ht="30" customHeight="1">
      <c r="A45" s="205" t="s">
        <v>168</v>
      </c>
      <c r="B45" s="208" t="s">
        <v>177</v>
      </c>
      <c r="C45" s="216" t="s">
        <v>44</v>
      </c>
      <c r="D45" s="216" t="s">
        <v>122</v>
      </c>
      <c r="E45" s="151">
        <v>2021</v>
      </c>
      <c r="F45" s="126">
        <f t="shared" si="1"/>
        <v>23773997.64</v>
      </c>
      <c r="G45" s="126"/>
      <c r="H45" s="126"/>
      <c r="I45" s="126">
        <f>22180757.64+1593240</f>
        <v>23773997.64</v>
      </c>
      <c r="J45" s="126">
        <v>0</v>
      </c>
      <c r="K45" s="126">
        <v>0</v>
      </c>
      <c r="L45" s="217" t="s">
        <v>154</v>
      </c>
      <c r="M45" s="202" t="s">
        <v>36</v>
      </c>
      <c r="N45" s="135"/>
      <c r="O45" s="135"/>
      <c r="P45" s="155">
        <v>100</v>
      </c>
      <c r="Q45" s="231" t="s">
        <v>137</v>
      </c>
    </row>
    <row r="46" spans="1:17" ht="27.75" customHeight="1">
      <c r="A46" s="223"/>
      <c r="B46" s="225"/>
      <c r="C46" s="238"/>
      <c r="D46" s="238"/>
      <c r="E46" s="151">
        <v>2022</v>
      </c>
      <c r="F46" s="126">
        <f t="shared" si="1"/>
        <v>0</v>
      </c>
      <c r="G46" s="126"/>
      <c r="H46" s="126"/>
      <c r="I46" s="126">
        <v>0</v>
      </c>
      <c r="J46" s="126">
        <v>0</v>
      </c>
      <c r="K46" s="126">
        <v>0</v>
      </c>
      <c r="L46" s="224"/>
      <c r="M46" s="228"/>
      <c r="N46" s="135"/>
      <c r="O46" s="135"/>
      <c r="P46" s="155">
        <v>0</v>
      </c>
      <c r="Q46" s="231"/>
    </row>
    <row r="47" spans="1:17" ht="29.25" customHeight="1">
      <c r="A47" s="223"/>
      <c r="B47" s="225"/>
      <c r="C47" s="238"/>
      <c r="D47" s="238"/>
      <c r="E47" s="151">
        <v>2023</v>
      </c>
      <c r="F47" s="126">
        <f t="shared" si="1"/>
        <v>0</v>
      </c>
      <c r="G47" s="126"/>
      <c r="H47" s="126"/>
      <c r="I47" s="126">
        <v>0</v>
      </c>
      <c r="J47" s="126">
        <v>0</v>
      </c>
      <c r="K47" s="126">
        <v>0</v>
      </c>
      <c r="L47" s="224"/>
      <c r="M47" s="228"/>
      <c r="N47" s="135"/>
      <c r="O47" s="135"/>
      <c r="P47" s="155">
        <v>0</v>
      </c>
      <c r="Q47" s="231"/>
    </row>
    <row r="48" spans="1:17" ht="29.25" customHeight="1">
      <c r="A48" s="223"/>
      <c r="B48" s="226"/>
      <c r="C48" s="239"/>
      <c r="D48" s="239"/>
      <c r="E48" s="151">
        <v>2024</v>
      </c>
      <c r="F48" s="126">
        <f t="shared" si="1"/>
        <v>0</v>
      </c>
      <c r="G48" s="126"/>
      <c r="H48" s="126"/>
      <c r="I48" s="126">
        <v>0</v>
      </c>
      <c r="J48" s="126">
        <v>0</v>
      </c>
      <c r="K48" s="126">
        <v>0</v>
      </c>
      <c r="L48" s="296"/>
      <c r="M48" s="229"/>
      <c r="N48" s="135"/>
      <c r="O48" s="135"/>
      <c r="P48" s="155">
        <v>0</v>
      </c>
      <c r="Q48" s="231"/>
    </row>
    <row r="49" spans="1:17" ht="32.25" customHeight="1">
      <c r="A49" s="205" t="s">
        <v>169</v>
      </c>
      <c r="B49" s="208" t="s">
        <v>166</v>
      </c>
      <c r="C49" s="216" t="s">
        <v>44</v>
      </c>
      <c r="D49" s="216" t="s">
        <v>122</v>
      </c>
      <c r="E49" s="151">
        <v>2021</v>
      </c>
      <c r="F49" s="126">
        <f t="shared" si="1"/>
        <v>5558723.04</v>
      </c>
      <c r="G49" s="126"/>
      <c r="H49" s="126"/>
      <c r="I49" s="126">
        <f>2744000+2814723.04</f>
        <v>5558723.04</v>
      </c>
      <c r="J49" s="126">
        <v>0</v>
      </c>
      <c r="K49" s="126">
        <v>0</v>
      </c>
      <c r="L49" s="217" t="s">
        <v>167</v>
      </c>
      <c r="M49" s="202" t="s">
        <v>36</v>
      </c>
      <c r="N49" s="135"/>
      <c r="O49" s="135"/>
      <c r="P49" s="155">
        <v>100</v>
      </c>
      <c r="Q49" s="185"/>
    </row>
    <row r="50" spans="1:17" ht="39" customHeight="1">
      <c r="A50" s="206"/>
      <c r="B50" s="213"/>
      <c r="C50" s="206"/>
      <c r="D50" s="206"/>
      <c r="E50" s="151">
        <v>2022</v>
      </c>
      <c r="F50" s="126">
        <f t="shared" si="1"/>
        <v>0</v>
      </c>
      <c r="G50" s="126"/>
      <c r="H50" s="126"/>
      <c r="I50" s="126">
        <v>0</v>
      </c>
      <c r="J50" s="126">
        <v>0</v>
      </c>
      <c r="K50" s="126">
        <v>0</v>
      </c>
      <c r="L50" s="213"/>
      <c r="M50" s="203"/>
      <c r="N50" s="135"/>
      <c r="O50" s="135"/>
      <c r="P50" s="155">
        <v>0</v>
      </c>
      <c r="Q50" s="185"/>
    </row>
    <row r="51" spans="1:17" ht="39.75" customHeight="1">
      <c r="A51" s="206"/>
      <c r="B51" s="213"/>
      <c r="C51" s="206"/>
      <c r="D51" s="206"/>
      <c r="E51" s="151">
        <v>2023</v>
      </c>
      <c r="F51" s="126">
        <f t="shared" si="1"/>
        <v>0</v>
      </c>
      <c r="G51" s="126"/>
      <c r="H51" s="126"/>
      <c r="I51" s="126">
        <v>0</v>
      </c>
      <c r="J51" s="126">
        <v>0</v>
      </c>
      <c r="K51" s="126">
        <v>0</v>
      </c>
      <c r="L51" s="213"/>
      <c r="M51" s="203"/>
      <c r="N51" s="135"/>
      <c r="O51" s="135"/>
      <c r="P51" s="155">
        <v>0</v>
      </c>
      <c r="Q51" s="185">
        <v>13060</v>
      </c>
    </row>
    <row r="52" spans="1:17" ht="42" customHeight="1">
      <c r="A52" s="207"/>
      <c r="B52" s="214"/>
      <c r="C52" s="207"/>
      <c r="D52" s="207"/>
      <c r="E52" s="151">
        <v>2024</v>
      </c>
      <c r="F52" s="126">
        <f t="shared" si="1"/>
        <v>0</v>
      </c>
      <c r="G52" s="126"/>
      <c r="H52" s="126"/>
      <c r="I52" s="126">
        <v>0</v>
      </c>
      <c r="J52" s="126">
        <v>0</v>
      </c>
      <c r="K52" s="126">
        <v>0</v>
      </c>
      <c r="L52" s="214"/>
      <c r="M52" s="204"/>
      <c r="N52" s="135"/>
      <c r="O52" s="135"/>
      <c r="P52" s="155">
        <v>0</v>
      </c>
      <c r="Q52" s="185"/>
    </row>
    <row r="53" spans="1:17" ht="33.75" customHeight="1">
      <c r="A53" s="205" t="s">
        <v>176</v>
      </c>
      <c r="B53" s="208" t="s">
        <v>172</v>
      </c>
      <c r="C53" s="216" t="s">
        <v>44</v>
      </c>
      <c r="D53" s="216" t="s">
        <v>122</v>
      </c>
      <c r="E53" s="151">
        <v>2021</v>
      </c>
      <c r="F53" s="126">
        <f t="shared" si="1"/>
        <v>1050723.35</v>
      </c>
      <c r="G53" s="126"/>
      <c r="H53" s="126"/>
      <c r="I53" s="126">
        <f>171367.38+879355.97</f>
        <v>1050723.35</v>
      </c>
      <c r="J53" s="126">
        <v>0</v>
      </c>
      <c r="K53" s="126">
        <v>0</v>
      </c>
      <c r="L53" s="217" t="s">
        <v>173</v>
      </c>
      <c r="M53" s="202" t="s">
        <v>36</v>
      </c>
      <c r="N53" s="135"/>
      <c r="O53" s="135"/>
      <c r="P53" s="155">
        <v>100</v>
      </c>
      <c r="Q53" s="185"/>
    </row>
    <row r="54" spans="1:17" ht="36.75" customHeight="1">
      <c r="A54" s="206"/>
      <c r="B54" s="213"/>
      <c r="C54" s="206"/>
      <c r="D54" s="206"/>
      <c r="E54" s="151">
        <v>2022</v>
      </c>
      <c r="F54" s="126">
        <f t="shared" si="1"/>
        <v>0</v>
      </c>
      <c r="G54" s="126"/>
      <c r="H54" s="126"/>
      <c r="I54" s="126">
        <v>0</v>
      </c>
      <c r="J54" s="126">
        <v>0</v>
      </c>
      <c r="K54" s="126">
        <v>0</v>
      </c>
      <c r="L54" s="213"/>
      <c r="M54" s="203"/>
      <c r="N54" s="135"/>
      <c r="O54" s="135"/>
      <c r="P54" s="155">
        <v>0</v>
      </c>
      <c r="Q54" s="185"/>
    </row>
    <row r="55" spans="1:17" ht="36.75" customHeight="1">
      <c r="A55" s="206"/>
      <c r="B55" s="213"/>
      <c r="C55" s="206"/>
      <c r="D55" s="206"/>
      <c r="E55" s="151">
        <v>2023</v>
      </c>
      <c r="F55" s="126">
        <f t="shared" si="1"/>
        <v>0</v>
      </c>
      <c r="G55" s="126"/>
      <c r="H55" s="126"/>
      <c r="I55" s="126">
        <v>0</v>
      </c>
      <c r="J55" s="126">
        <v>0</v>
      </c>
      <c r="K55" s="126">
        <v>0</v>
      </c>
      <c r="L55" s="213"/>
      <c r="M55" s="203"/>
      <c r="N55" s="135"/>
      <c r="O55" s="135"/>
      <c r="P55" s="155">
        <v>0</v>
      </c>
      <c r="Q55" s="185">
        <v>90220</v>
      </c>
    </row>
    <row r="56" spans="1:17" ht="31.5" customHeight="1">
      <c r="A56" s="207"/>
      <c r="B56" s="214"/>
      <c r="C56" s="207"/>
      <c r="D56" s="207"/>
      <c r="E56" s="151">
        <v>2024</v>
      </c>
      <c r="F56" s="126">
        <f t="shared" si="1"/>
        <v>0</v>
      </c>
      <c r="G56" s="126"/>
      <c r="H56" s="126"/>
      <c r="I56" s="126">
        <v>0</v>
      </c>
      <c r="J56" s="126">
        <v>0</v>
      </c>
      <c r="K56" s="126">
        <v>0</v>
      </c>
      <c r="L56" s="214"/>
      <c r="M56" s="204"/>
      <c r="N56" s="135"/>
      <c r="O56" s="135"/>
      <c r="P56" s="155">
        <v>0</v>
      </c>
      <c r="Q56" s="185"/>
    </row>
    <row r="57" spans="1:17" ht="31.5" customHeight="1">
      <c r="A57" s="205" t="s">
        <v>181</v>
      </c>
      <c r="B57" s="208" t="s">
        <v>204</v>
      </c>
      <c r="C57" s="216" t="s">
        <v>44</v>
      </c>
      <c r="D57" s="216" t="s">
        <v>122</v>
      </c>
      <c r="E57" s="151">
        <v>2021</v>
      </c>
      <c r="F57" s="126">
        <f>I57+J57+K57</f>
        <v>234988.79</v>
      </c>
      <c r="G57" s="126"/>
      <c r="H57" s="126"/>
      <c r="I57" s="126">
        <v>234988.79</v>
      </c>
      <c r="J57" s="126">
        <v>0</v>
      </c>
      <c r="K57" s="126">
        <v>0</v>
      </c>
      <c r="L57" s="217" t="s">
        <v>223</v>
      </c>
      <c r="M57" s="202" t="s">
        <v>36</v>
      </c>
      <c r="N57" s="135"/>
      <c r="O57" s="135"/>
      <c r="P57" s="155">
        <v>100</v>
      </c>
      <c r="Q57" s="185"/>
    </row>
    <row r="58" spans="1:17" ht="31.5" customHeight="1">
      <c r="A58" s="206"/>
      <c r="B58" s="213"/>
      <c r="C58" s="206"/>
      <c r="D58" s="206"/>
      <c r="E58" s="151">
        <v>2022</v>
      </c>
      <c r="F58" s="126">
        <f>I58+J58+K58</f>
        <v>0</v>
      </c>
      <c r="G58" s="126"/>
      <c r="H58" s="126"/>
      <c r="I58" s="126">
        <v>0</v>
      </c>
      <c r="J58" s="126">
        <v>0</v>
      </c>
      <c r="K58" s="126">
        <v>0</v>
      </c>
      <c r="L58" s="213"/>
      <c r="M58" s="203"/>
      <c r="N58" s="135"/>
      <c r="O58" s="135"/>
      <c r="P58" s="155">
        <v>0</v>
      </c>
      <c r="Q58" s="185">
        <v>90230</v>
      </c>
    </row>
    <row r="59" spans="1:17" ht="31.5" customHeight="1">
      <c r="A59" s="206"/>
      <c r="B59" s="213"/>
      <c r="C59" s="206"/>
      <c r="D59" s="206"/>
      <c r="E59" s="151">
        <v>2023</v>
      </c>
      <c r="F59" s="126">
        <f>I59+J59+K59</f>
        <v>0</v>
      </c>
      <c r="G59" s="126"/>
      <c r="H59" s="126"/>
      <c r="I59" s="126">
        <v>0</v>
      </c>
      <c r="J59" s="126">
        <v>0</v>
      </c>
      <c r="K59" s="126">
        <v>0</v>
      </c>
      <c r="L59" s="213"/>
      <c r="M59" s="203"/>
      <c r="N59" s="135"/>
      <c r="O59" s="135"/>
      <c r="P59" s="155">
        <v>0</v>
      </c>
      <c r="Q59" s="185"/>
    </row>
    <row r="60" spans="1:17" ht="31.5" customHeight="1">
      <c r="A60" s="207"/>
      <c r="B60" s="214"/>
      <c r="C60" s="207"/>
      <c r="D60" s="207"/>
      <c r="E60" s="151">
        <v>2024</v>
      </c>
      <c r="F60" s="126">
        <f>I60+J60+K60</f>
        <v>0</v>
      </c>
      <c r="G60" s="126"/>
      <c r="H60" s="126"/>
      <c r="I60" s="126">
        <v>0</v>
      </c>
      <c r="J60" s="126">
        <v>0</v>
      </c>
      <c r="K60" s="126">
        <v>0</v>
      </c>
      <c r="L60" s="214"/>
      <c r="M60" s="204"/>
      <c r="N60" s="135"/>
      <c r="O60" s="135"/>
      <c r="P60" s="155">
        <v>0</v>
      </c>
      <c r="Q60" s="185"/>
    </row>
    <row r="61" spans="1:17" ht="24" customHeight="1">
      <c r="A61" s="205" t="s">
        <v>222</v>
      </c>
      <c r="B61" s="208" t="s">
        <v>170</v>
      </c>
      <c r="C61" s="216" t="s">
        <v>44</v>
      </c>
      <c r="D61" s="216" t="s">
        <v>122</v>
      </c>
      <c r="E61" s="151">
        <v>2021</v>
      </c>
      <c r="F61" s="126">
        <f t="shared" si="1"/>
        <v>80000</v>
      </c>
      <c r="G61" s="126"/>
      <c r="H61" s="126"/>
      <c r="I61" s="126">
        <f>81000-1000</f>
        <v>80000</v>
      </c>
      <c r="J61" s="126">
        <v>0</v>
      </c>
      <c r="K61" s="126">
        <v>0</v>
      </c>
      <c r="L61" s="217" t="s">
        <v>171</v>
      </c>
      <c r="M61" s="202" t="s">
        <v>123</v>
      </c>
      <c r="N61" s="135"/>
      <c r="O61" s="135"/>
      <c r="P61" s="155">
        <v>8</v>
      </c>
      <c r="Q61" s="185"/>
    </row>
    <row r="62" spans="1:17" ht="24" customHeight="1">
      <c r="A62" s="206"/>
      <c r="B62" s="213"/>
      <c r="C62" s="206"/>
      <c r="D62" s="206"/>
      <c r="E62" s="151">
        <v>2022</v>
      </c>
      <c r="F62" s="126">
        <f t="shared" si="1"/>
        <v>0</v>
      </c>
      <c r="G62" s="126"/>
      <c r="H62" s="126"/>
      <c r="I62" s="126">
        <v>0</v>
      </c>
      <c r="J62" s="126">
        <v>0</v>
      </c>
      <c r="K62" s="126">
        <v>0</v>
      </c>
      <c r="L62" s="213"/>
      <c r="M62" s="203"/>
      <c r="N62" s="135"/>
      <c r="O62" s="135"/>
      <c r="P62" s="155">
        <v>0</v>
      </c>
      <c r="Q62" s="185"/>
    </row>
    <row r="63" spans="1:17" ht="24" customHeight="1">
      <c r="A63" s="206"/>
      <c r="B63" s="213"/>
      <c r="C63" s="206"/>
      <c r="D63" s="206"/>
      <c r="E63" s="151">
        <v>2023</v>
      </c>
      <c r="F63" s="126">
        <f t="shared" si="1"/>
        <v>0</v>
      </c>
      <c r="G63" s="126"/>
      <c r="H63" s="126"/>
      <c r="I63" s="126">
        <v>0</v>
      </c>
      <c r="J63" s="126">
        <v>0</v>
      </c>
      <c r="K63" s="126">
        <v>0</v>
      </c>
      <c r="L63" s="213"/>
      <c r="M63" s="203"/>
      <c r="N63" s="135"/>
      <c r="O63" s="135"/>
      <c r="P63" s="155">
        <v>0</v>
      </c>
      <c r="Q63" s="185">
        <v>28260</v>
      </c>
    </row>
    <row r="64" spans="1:17" ht="24" customHeight="1">
      <c r="A64" s="207"/>
      <c r="B64" s="214"/>
      <c r="C64" s="207"/>
      <c r="D64" s="207"/>
      <c r="E64" s="151">
        <v>2024</v>
      </c>
      <c r="F64" s="126">
        <f t="shared" si="1"/>
        <v>0</v>
      </c>
      <c r="G64" s="126"/>
      <c r="H64" s="126"/>
      <c r="I64" s="126">
        <v>0</v>
      </c>
      <c r="J64" s="126">
        <v>0</v>
      </c>
      <c r="K64" s="126">
        <v>0</v>
      </c>
      <c r="L64" s="214"/>
      <c r="M64" s="204"/>
      <c r="N64" s="135"/>
      <c r="O64" s="135"/>
      <c r="P64" s="155">
        <v>0</v>
      </c>
      <c r="Q64" s="185"/>
    </row>
    <row r="65" spans="1:16" ht="24" customHeight="1">
      <c r="A65" s="276" t="s">
        <v>1</v>
      </c>
      <c r="B65" s="278" t="s">
        <v>83</v>
      </c>
      <c r="C65" s="276" t="s">
        <v>45</v>
      </c>
      <c r="D65" s="276" t="s">
        <v>122</v>
      </c>
      <c r="E65" s="150">
        <v>2021</v>
      </c>
      <c r="F65" s="3">
        <f t="shared" si="1"/>
        <v>382280335.1</v>
      </c>
      <c r="G65" s="3" t="e">
        <f>SUM(G66:G68)</f>
        <v>#REF!</v>
      </c>
      <c r="H65" s="3" t="e">
        <f>SUM(H66:H68)</f>
        <v>#REF!</v>
      </c>
      <c r="I65" s="3">
        <f>I73+I77+I81+I69+I85+I89+I93+I97+I101</f>
        <v>38299006.099999994</v>
      </c>
      <c r="J65" s="3">
        <f>J73+J77+J81+J69+J85+J89+J93+J97+J101</f>
        <v>343981329</v>
      </c>
      <c r="K65" s="3">
        <f>K73+K77+K81+K69+K85+K89+K93+K97+K101</f>
        <v>0</v>
      </c>
      <c r="L65" s="290" t="s">
        <v>114</v>
      </c>
      <c r="M65" s="293" t="s">
        <v>40</v>
      </c>
      <c r="N65" s="122">
        <f>N73</f>
        <v>0</v>
      </c>
      <c r="O65" s="122">
        <f>O73</f>
        <v>0</v>
      </c>
      <c r="P65" s="153">
        <v>3356</v>
      </c>
    </row>
    <row r="66" spans="1:16" ht="25.5" customHeight="1">
      <c r="A66" s="277"/>
      <c r="B66" s="279"/>
      <c r="C66" s="277"/>
      <c r="D66" s="277"/>
      <c r="E66" s="150">
        <v>2022</v>
      </c>
      <c r="F66" s="3">
        <f t="shared" si="1"/>
        <v>378876979.58</v>
      </c>
      <c r="G66" s="118" t="e">
        <f>G73+G143+#REF!+#REF!</f>
        <v>#REF!</v>
      </c>
      <c r="H66" s="118" t="e">
        <f>H73+H143+#REF!+#REF!</f>
        <v>#REF!</v>
      </c>
      <c r="I66" s="3">
        <f aca="true" t="shared" si="2" ref="I66:K68">I74+I78+I82+I70+I86+I90+I94+I98+I102</f>
        <v>32781335.58</v>
      </c>
      <c r="J66" s="3">
        <f t="shared" si="2"/>
        <v>346095644</v>
      </c>
      <c r="K66" s="3">
        <f t="shared" si="2"/>
        <v>0</v>
      </c>
      <c r="L66" s="291"/>
      <c r="M66" s="294"/>
      <c r="N66" s="123">
        <f>N76</f>
        <v>0</v>
      </c>
      <c r="O66" s="123">
        <f>O76</f>
        <v>0</v>
      </c>
      <c r="P66" s="153">
        <v>3356</v>
      </c>
    </row>
    <row r="67" spans="1:16" ht="25.5" customHeight="1">
      <c r="A67" s="277"/>
      <c r="B67" s="279"/>
      <c r="C67" s="277"/>
      <c r="D67" s="277"/>
      <c r="E67" s="150">
        <v>2023</v>
      </c>
      <c r="F67" s="3">
        <f t="shared" si="1"/>
        <v>384820279.58</v>
      </c>
      <c r="G67" s="118"/>
      <c r="H67" s="118"/>
      <c r="I67" s="3">
        <f t="shared" si="2"/>
        <v>32781335.58</v>
      </c>
      <c r="J67" s="3">
        <f t="shared" si="2"/>
        <v>352038944</v>
      </c>
      <c r="K67" s="3">
        <f t="shared" si="2"/>
        <v>0</v>
      </c>
      <c r="L67" s="291"/>
      <c r="M67" s="294"/>
      <c r="N67" s="123"/>
      <c r="O67" s="123"/>
      <c r="P67" s="153">
        <v>3356</v>
      </c>
    </row>
    <row r="68" spans="1:16" ht="23.25" customHeight="1">
      <c r="A68" s="277"/>
      <c r="B68" s="279"/>
      <c r="C68" s="277"/>
      <c r="D68" s="277"/>
      <c r="E68" s="150">
        <v>2024</v>
      </c>
      <c r="F68" s="3">
        <f t="shared" si="1"/>
        <v>394804179.58</v>
      </c>
      <c r="G68" s="3" t="e">
        <f>#REF!+#REF!+G144+#REF!</f>
        <v>#REF!</v>
      </c>
      <c r="H68" s="3" t="e">
        <f>#REF!+#REF!+H144+#REF!</f>
        <v>#REF!</v>
      </c>
      <c r="I68" s="3">
        <f t="shared" si="2"/>
        <v>32781335.58</v>
      </c>
      <c r="J68" s="3">
        <f t="shared" si="2"/>
        <v>362022844</v>
      </c>
      <c r="K68" s="3">
        <f t="shared" si="2"/>
        <v>0</v>
      </c>
      <c r="L68" s="292"/>
      <c r="M68" s="295"/>
      <c r="N68" s="124">
        <f>N84</f>
        <v>100</v>
      </c>
      <c r="O68" s="124">
        <f>O84</f>
        <v>100</v>
      </c>
      <c r="P68" s="153">
        <v>3356</v>
      </c>
    </row>
    <row r="69" spans="1:16" ht="23.25" customHeight="1">
      <c r="A69" s="205" t="s">
        <v>49</v>
      </c>
      <c r="B69" s="208" t="s">
        <v>182</v>
      </c>
      <c r="C69" s="211" t="s">
        <v>45</v>
      </c>
      <c r="D69" s="211" t="s">
        <v>122</v>
      </c>
      <c r="E69" s="151">
        <v>2021</v>
      </c>
      <c r="F69" s="172">
        <f>I69+J69+K69</f>
        <v>315054100</v>
      </c>
      <c r="G69" s="172">
        <v>190951400</v>
      </c>
      <c r="H69" s="172">
        <v>209574800</v>
      </c>
      <c r="I69" s="139">
        <v>0</v>
      </c>
      <c r="J69" s="139">
        <f>295257700+11977500+7818900</f>
        <v>315054100</v>
      </c>
      <c r="K69" s="139">
        <v>0</v>
      </c>
      <c r="L69" s="217" t="s">
        <v>187</v>
      </c>
      <c r="M69" s="220" t="str">
        <f>M17</f>
        <v>чел.</v>
      </c>
      <c r="N69" s="220">
        <f>N17</f>
        <v>0</v>
      </c>
      <c r="O69" s="220">
        <f>O17</f>
        <v>0</v>
      </c>
      <c r="P69" s="173">
        <v>3356</v>
      </c>
    </row>
    <row r="70" spans="1:17" ht="23.25" customHeight="1">
      <c r="A70" s="223"/>
      <c r="B70" s="225"/>
      <c r="C70" s="218"/>
      <c r="D70" s="218"/>
      <c r="E70" s="151">
        <v>2022</v>
      </c>
      <c r="F70" s="172">
        <f>I70+J70+K70</f>
        <v>320222300</v>
      </c>
      <c r="G70" s="192"/>
      <c r="H70" s="192"/>
      <c r="I70" s="139">
        <v>0</v>
      </c>
      <c r="J70" s="139">
        <v>320222300</v>
      </c>
      <c r="K70" s="139">
        <v>0</v>
      </c>
      <c r="L70" s="213"/>
      <c r="M70" s="221"/>
      <c r="N70" s="221"/>
      <c r="O70" s="221"/>
      <c r="P70" s="173">
        <v>3356</v>
      </c>
      <c r="Q70" s="179">
        <v>75310</v>
      </c>
    </row>
    <row r="71" spans="1:16" ht="23.25" customHeight="1">
      <c r="A71" s="223"/>
      <c r="B71" s="225"/>
      <c r="C71" s="218"/>
      <c r="D71" s="218"/>
      <c r="E71" s="151">
        <v>2023</v>
      </c>
      <c r="F71" s="172">
        <f>I71+J71+K71</f>
        <v>326165600</v>
      </c>
      <c r="G71" s="192"/>
      <c r="H71" s="192"/>
      <c r="I71" s="139">
        <v>0</v>
      </c>
      <c r="J71" s="139">
        <v>326165600</v>
      </c>
      <c r="K71" s="139">
        <v>0</v>
      </c>
      <c r="L71" s="213"/>
      <c r="M71" s="221"/>
      <c r="N71" s="221"/>
      <c r="O71" s="221"/>
      <c r="P71" s="173">
        <v>3356</v>
      </c>
    </row>
    <row r="72" spans="1:16" ht="23.25" customHeight="1">
      <c r="A72" s="227"/>
      <c r="B72" s="226"/>
      <c r="C72" s="219"/>
      <c r="D72" s="219"/>
      <c r="E72" s="151">
        <v>2024</v>
      </c>
      <c r="F72" s="172">
        <f>I72+J72+K72</f>
        <v>336149500</v>
      </c>
      <c r="G72" s="192"/>
      <c r="H72" s="192"/>
      <c r="I72" s="192">
        <v>0</v>
      </c>
      <c r="J72" s="192">
        <v>336149500</v>
      </c>
      <c r="K72" s="177">
        <v>0</v>
      </c>
      <c r="L72" s="214"/>
      <c r="M72" s="222"/>
      <c r="N72" s="222"/>
      <c r="O72" s="222"/>
      <c r="P72" s="173">
        <v>3356</v>
      </c>
    </row>
    <row r="73" spans="1:17" ht="25.5" customHeight="1">
      <c r="A73" s="205" t="s">
        <v>50</v>
      </c>
      <c r="B73" s="208" t="s">
        <v>43</v>
      </c>
      <c r="C73" s="211" t="s">
        <v>45</v>
      </c>
      <c r="D73" s="211" t="s">
        <v>122</v>
      </c>
      <c r="E73" s="151">
        <v>2021</v>
      </c>
      <c r="F73" s="172">
        <f t="shared" si="1"/>
        <v>32073323.619999997</v>
      </c>
      <c r="G73" s="172">
        <v>190951400</v>
      </c>
      <c r="H73" s="172">
        <v>209574800</v>
      </c>
      <c r="I73" s="139">
        <f>28751338.33+1178201.22+2143784.07</f>
        <v>32073323.619999997</v>
      </c>
      <c r="J73" s="139">
        <v>0</v>
      </c>
      <c r="K73" s="139">
        <v>0</v>
      </c>
      <c r="L73" s="217" t="s">
        <v>109</v>
      </c>
      <c r="M73" s="220" t="str">
        <f>M21</f>
        <v>%</v>
      </c>
      <c r="N73" s="220">
        <f>N21</f>
        <v>0</v>
      </c>
      <c r="O73" s="220">
        <f>O21</f>
        <v>0</v>
      </c>
      <c r="P73" s="173">
        <f>P21</f>
        <v>100</v>
      </c>
      <c r="Q73" s="231">
        <v>23020</v>
      </c>
    </row>
    <row r="74" spans="1:17" ht="24.75" customHeight="1">
      <c r="A74" s="223"/>
      <c r="B74" s="225"/>
      <c r="C74" s="218"/>
      <c r="D74" s="218"/>
      <c r="E74" s="151">
        <v>2022</v>
      </c>
      <c r="F74" s="172">
        <f t="shared" si="1"/>
        <v>32781335.58</v>
      </c>
      <c r="G74" s="192"/>
      <c r="H74" s="192"/>
      <c r="I74" s="139">
        <v>32781335.58</v>
      </c>
      <c r="J74" s="139">
        <v>0</v>
      </c>
      <c r="K74" s="139">
        <v>0</v>
      </c>
      <c r="L74" s="213"/>
      <c r="M74" s="221"/>
      <c r="N74" s="221"/>
      <c r="O74" s="221"/>
      <c r="P74" s="173">
        <f>P22</f>
        <v>100</v>
      </c>
      <c r="Q74" s="231"/>
    </row>
    <row r="75" spans="1:17" ht="24.75" customHeight="1">
      <c r="A75" s="223"/>
      <c r="B75" s="225"/>
      <c r="C75" s="218"/>
      <c r="D75" s="218"/>
      <c r="E75" s="151">
        <v>2023</v>
      </c>
      <c r="F75" s="172">
        <f t="shared" si="1"/>
        <v>32781335.58</v>
      </c>
      <c r="G75" s="192"/>
      <c r="H75" s="192"/>
      <c r="I75" s="139">
        <v>32781335.58</v>
      </c>
      <c r="J75" s="139">
        <v>0</v>
      </c>
      <c r="K75" s="139">
        <v>0</v>
      </c>
      <c r="L75" s="213"/>
      <c r="M75" s="221"/>
      <c r="N75" s="221"/>
      <c r="O75" s="221"/>
      <c r="P75" s="173">
        <f>P23</f>
        <v>100</v>
      </c>
      <c r="Q75" s="231"/>
    </row>
    <row r="76" spans="1:17" ht="22.5" customHeight="1">
      <c r="A76" s="227"/>
      <c r="B76" s="226"/>
      <c r="C76" s="219"/>
      <c r="D76" s="219"/>
      <c r="E76" s="151">
        <v>2024</v>
      </c>
      <c r="F76" s="172">
        <f t="shared" si="1"/>
        <v>32781335.58</v>
      </c>
      <c r="G76" s="192"/>
      <c r="H76" s="192"/>
      <c r="I76" s="192">
        <v>32781335.58</v>
      </c>
      <c r="J76" s="192">
        <v>0</v>
      </c>
      <c r="K76" s="192">
        <v>0</v>
      </c>
      <c r="L76" s="214"/>
      <c r="M76" s="222"/>
      <c r="N76" s="222"/>
      <c r="O76" s="222"/>
      <c r="P76" s="173">
        <f>P24</f>
        <v>100</v>
      </c>
      <c r="Q76" s="231"/>
    </row>
    <row r="77" spans="1:17" ht="31.5" customHeight="1">
      <c r="A77" s="205" t="s">
        <v>184</v>
      </c>
      <c r="B77" s="208" t="s">
        <v>183</v>
      </c>
      <c r="C77" s="211" t="s">
        <v>45</v>
      </c>
      <c r="D77" s="211" t="s">
        <v>122</v>
      </c>
      <c r="E77" s="151">
        <v>2021</v>
      </c>
      <c r="F77" s="172">
        <f t="shared" si="1"/>
        <v>25873344</v>
      </c>
      <c r="G77" s="192"/>
      <c r="H77" s="192"/>
      <c r="I77" s="192">
        <v>0</v>
      </c>
      <c r="J77" s="192">
        <f>24748416+1124928</f>
        <v>25873344</v>
      </c>
      <c r="K77" s="192">
        <v>0</v>
      </c>
      <c r="L77" s="217" t="s">
        <v>149</v>
      </c>
      <c r="M77" s="215" t="s">
        <v>36</v>
      </c>
      <c r="N77" s="182"/>
      <c r="O77" s="182"/>
      <c r="P77" s="173">
        <v>100</v>
      </c>
      <c r="Q77" s="231" t="s">
        <v>133</v>
      </c>
    </row>
    <row r="78" spans="1:17" ht="29.25" customHeight="1">
      <c r="A78" s="206"/>
      <c r="B78" s="213"/>
      <c r="C78" s="206"/>
      <c r="D78" s="206"/>
      <c r="E78" s="151">
        <v>2022</v>
      </c>
      <c r="F78" s="172">
        <f>I78+J78+K78</f>
        <v>25873344</v>
      </c>
      <c r="G78" s="192"/>
      <c r="H78" s="192"/>
      <c r="I78" s="192">
        <v>0</v>
      </c>
      <c r="J78" s="192">
        <f>24748416+1124928</f>
        <v>25873344</v>
      </c>
      <c r="K78" s="192">
        <v>0</v>
      </c>
      <c r="L78" s="213"/>
      <c r="M78" s="206"/>
      <c r="N78" s="182"/>
      <c r="O78" s="182"/>
      <c r="P78" s="173">
        <v>100</v>
      </c>
      <c r="Q78" s="231"/>
    </row>
    <row r="79" spans="1:17" ht="28.5" customHeight="1">
      <c r="A79" s="206"/>
      <c r="B79" s="213"/>
      <c r="C79" s="206"/>
      <c r="D79" s="206"/>
      <c r="E79" s="151">
        <v>2023</v>
      </c>
      <c r="F79" s="172">
        <f>I79+J79+K79</f>
        <v>25873344</v>
      </c>
      <c r="G79" s="192"/>
      <c r="H79" s="192"/>
      <c r="I79" s="192">
        <v>0</v>
      </c>
      <c r="J79" s="197">
        <f>24748416+1124928</f>
        <v>25873344</v>
      </c>
      <c r="K79" s="192">
        <v>0</v>
      </c>
      <c r="L79" s="213"/>
      <c r="M79" s="206"/>
      <c r="N79" s="182"/>
      <c r="O79" s="182"/>
      <c r="P79" s="173">
        <v>100</v>
      </c>
      <c r="Q79" s="231"/>
    </row>
    <row r="80" spans="1:17" ht="26.25" customHeight="1">
      <c r="A80" s="207"/>
      <c r="B80" s="214"/>
      <c r="C80" s="207"/>
      <c r="D80" s="207"/>
      <c r="E80" s="151">
        <v>2024</v>
      </c>
      <c r="F80" s="172">
        <f>I80+J80+K80</f>
        <v>25873344</v>
      </c>
      <c r="G80" s="172"/>
      <c r="H80" s="172"/>
      <c r="I80" s="172">
        <v>0</v>
      </c>
      <c r="J80" s="197">
        <f>24748416+1124928</f>
        <v>25873344</v>
      </c>
      <c r="K80" s="172">
        <v>0</v>
      </c>
      <c r="L80" s="214"/>
      <c r="M80" s="207"/>
      <c r="N80" s="176"/>
      <c r="O80" s="176"/>
      <c r="P80" s="173">
        <v>100</v>
      </c>
      <c r="Q80" s="231"/>
    </row>
    <row r="81" spans="1:17" ht="69" customHeight="1">
      <c r="A81" s="205" t="s">
        <v>185</v>
      </c>
      <c r="B81" s="208" t="s">
        <v>188</v>
      </c>
      <c r="C81" s="211" t="s">
        <v>45</v>
      </c>
      <c r="D81" s="211" t="s">
        <v>122</v>
      </c>
      <c r="E81" s="151">
        <v>2021</v>
      </c>
      <c r="F81" s="172">
        <f aca="true" t="shared" si="3" ref="F81:F135">I81+J81+K81</f>
        <v>0</v>
      </c>
      <c r="G81" s="172"/>
      <c r="H81" s="172"/>
      <c r="I81" s="172">
        <v>0</v>
      </c>
      <c r="J81" s="172">
        <f>85565.94-85565.94</f>
        <v>0</v>
      </c>
      <c r="K81" s="172">
        <v>0</v>
      </c>
      <c r="L81" s="217" t="s">
        <v>38</v>
      </c>
      <c r="M81" s="215" t="s">
        <v>36</v>
      </c>
      <c r="N81" s="148"/>
      <c r="O81" s="148"/>
      <c r="P81" s="173">
        <v>0</v>
      </c>
      <c r="Q81" s="289">
        <v>75240</v>
      </c>
    </row>
    <row r="82" spans="1:17" ht="54" customHeight="1">
      <c r="A82" s="206"/>
      <c r="B82" s="213"/>
      <c r="C82" s="206"/>
      <c r="D82" s="206"/>
      <c r="E82" s="151">
        <v>2022</v>
      </c>
      <c r="F82" s="172">
        <f t="shared" si="3"/>
        <v>0</v>
      </c>
      <c r="G82" s="172"/>
      <c r="H82" s="172"/>
      <c r="I82" s="172">
        <v>0</v>
      </c>
      <c r="J82" s="172">
        <v>0</v>
      </c>
      <c r="K82" s="172">
        <v>0</v>
      </c>
      <c r="L82" s="213"/>
      <c r="M82" s="206"/>
      <c r="N82" s="148"/>
      <c r="O82" s="148"/>
      <c r="P82" s="173">
        <v>0</v>
      </c>
      <c r="Q82" s="231"/>
    </row>
    <row r="83" spans="1:17" ht="61.5" customHeight="1">
      <c r="A83" s="206"/>
      <c r="B83" s="213"/>
      <c r="C83" s="206"/>
      <c r="D83" s="206"/>
      <c r="E83" s="151">
        <v>2023</v>
      </c>
      <c r="F83" s="172">
        <f t="shared" si="3"/>
        <v>0</v>
      </c>
      <c r="G83" s="172"/>
      <c r="H83" s="172"/>
      <c r="I83" s="172">
        <v>0</v>
      </c>
      <c r="J83" s="172">
        <v>0</v>
      </c>
      <c r="K83" s="172">
        <v>0</v>
      </c>
      <c r="L83" s="213"/>
      <c r="M83" s="206"/>
      <c r="N83" s="148"/>
      <c r="O83" s="148"/>
      <c r="P83" s="173">
        <v>0</v>
      </c>
      <c r="Q83" s="231"/>
    </row>
    <row r="84" spans="1:18" ht="55.5" customHeight="1">
      <c r="A84" s="207"/>
      <c r="B84" s="214"/>
      <c r="C84" s="207"/>
      <c r="D84" s="207"/>
      <c r="E84" s="151">
        <v>2024</v>
      </c>
      <c r="F84" s="172">
        <f t="shared" si="3"/>
        <v>0</v>
      </c>
      <c r="G84" s="172"/>
      <c r="H84" s="172"/>
      <c r="I84" s="172">
        <v>0</v>
      </c>
      <c r="J84" s="172">
        <v>0</v>
      </c>
      <c r="K84" s="172">
        <v>0</v>
      </c>
      <c r="L84" s="214"/>
      <c r="M84" s="207"/>
      <c r="N84" s="176">
        <v>100</v>
      </c>
      <c r="O84" s="176">
        <v>100</v>
      </c>
      <c r="P84" s="176">
        <v>0</v>
      </c>
      <c r="Q84" s="231"/>
      <c r="R84" s="5"/>
    </row>
    <row r="85" spans="1:18" ht="30" customHeight="1">
      <c r="A85" s="205" t="s">
        <v>189</v>
      </c>
      <c r="B85" s="208" t="s">
        <v>193</v>
      </c>
      <c r="C85" s="211" t="s">
        <v>45</v>
      </c>
      <c r="D85" s="211" t="s">
        <v>122</v>
      </c>
      <c r="E85" s="151">
        <v>2021</v>
      </c>
      <c r="F85" s="172">
        <f t="shared" si="3"/>
        <v>130200</v>
      </c>
      <c r="G85" s="172"/>
      <c r="H85" s="172"/>
      <c r="I85" s="172">
        <v>130200</v>
      </c>
      <c r="J85" s="172">
        <v>0</v>
      </c>
      <c r="K85" s="172">
        <v>0</v>
      </c>
      <c r="L85" s="217" t="s">
        <v>194</v>
      </c>
      <c r="M85" s="215" t="s">
        <v>36</v>
      </c>
      <c r="N85" s="148"/>
      <c r="O85" s="148"/>
      <c r="P85" s="173">
        <v>100</v>
      </c>
      <c r="Q85" s="185"/>
      <c r="R85" s="5"/>
    </row>
    <row r="86" spans="1:18" ht="26.25" customHeight="1">
      <c r="A86" s="206"/>
      <c r="B86" s="213"/>
      <c r="C86" s="206"/>
      <c r="D86" s="206"/>
      <c r="E86" s="151">
        <v>2022</v>
      </c>
      <c r="F86" s="172">
        <f t="shared" si="3"/>
        <v>0</v>
      </c>
      <c r="G86" s="172"/>
      <c r="H86" s="172"/>
      <c r="I86" s="172">
        <v>0</v>
      </c>
      <c r="J86" s="172">
        <v>0</v>
      </c>
      <c r="K86" s="172">
        <v>0</v>
      </c>
      <c r="L86" s="213"/>
      <c r="M86" s="206"/>
      <c r="N86" s="148"/>
      <c r="O86" s="148"/>
      <c r="P86" s="173">
        <v>0</v>
      </c>
      <c r="Q86" s="185">
        <v>28130</v>
      </c>
      <c r="R86" s="5"/>
    </row>
    <row r="87" spans="1:18" ht="28.5" customHeight="1">
      <c r="A87" s="206"/>
      <c r="B87" s="213"/>
      <c r="C87" s="206"/>
      <c r="D87" s="206"/>
      <c r="E87" s="151">
        <v>2023</v>
      </c>
      <c r="F87" s="172">
        <f t="shared" si="3"/>
        <v>0</v>
      </c>
      <c r="G87" s="172"/>
      <c r="H87" s="172"/>
      <c r="I87" s="172">
        <v>0</v>
      </c>
      <c r="J87" s="172">
        <v>0</v>
      </c>
      <c r="K87" s="172">
        <v>0</v>
      </c>
      <c r="L87" s="213"/>
      <c r="M87" s="206"/>
      <c r="N87" s="148"/>
      <c r="O87" s="148"/>
      <c r="P87" s="173">
        <v>0</v>
      </c>
      <c r="Q87" s="185"/>
      <c r="R87" s="5"/>
    </row>
    <row r="88" spans="1:18" ht="29.25" customHeight="1">
      <c r="A88" s="207"/>
      <c r="B88" s="214"/>
      <c r="C88" s="207"/>
      <c r="D88" s="207"/>
      <c r="E88" s="151">
        <v>2024</v>
      </c>
      <c r="F88" s="172">
        <f t="shared" si="3"/>
        <v>0</v>
      </c>
      <c r="G88" s="172"/>
      <c r="H88" s="172"/>
      <c r="I88" s="172">
        <v>0</v>
      </c>
      <c r="J88" s="172">
        <v>0</v>
      </c>
      <c r="K88" s="172">
        <v>0</v>
      </c>
      <c r="L88" s="214"/>
      <c r="M88" s="207"/>
      <c r="N88" s="176">
        <v>100</v>
      </c>
      <c r="O88" s="176">
        <v>100</v>
      </c>
      <c r="P88" s="176">
        <v>0</v>
      </c>
      <c r="Q88" s="185"/>
      <c r="R88" s="5"/>
    </row>
    <row r="89" spans="1:18" ht="35.25" customHeight="1">
      <c r="A89" s="205" t="s">
        <v>190</v>
      </c>
      <c r="B89" s="208" t="s">
        <v>172</v>
      </c>
      <c r="C89" s="211" t="s">
        <v>45</v>
      </c>
      <c r="D89" s="211" t="s">
        <v>122</v>
      </c>
      <c r="E89" s="151">
        <v>2021</v>
      </c>
      <c r="F89" s="172">
        <f t="shared" si="3"/>
        <v>511797.38</v>
      </c>
      <c r="G89" s="172"/>
      <c r="H89" s="172"/>
      <c r="I89" s="172">
        <f>112128.08+399669.3</f>
        <v>511797.38</v>
      </c>
      <c r="J89" s="172">
        <v>0</v>
      </c>
      <c r="K89" s="172">
        <v>0</v>
      </c>
      <c r="L89" s="217" t="s">
        <v>195</v>
      </c>
      <c r="M89" s="215" t="s">
        <v>36</v>
      </c>
      <c r="N89" s="148"/>
      <c r="O89" s="148"/>
      <c r="P89" s="173">
        <v>100</v>
      </c>
      <c r="Q89" s="185"/>
      <c r="R89" s="5"/>
    </row>
    <row r="90" spans="1:18" ht="31.5" customHeight="1">
      <c r="A90" s="206"/>
      <c r="B90" s="213"/>
      <c r="C90" s="206"/>
      <c r="D90" s="206"/>
      <c r="E90" s="151">
        <v>2022</v>
      </c>
      <c r="F90" s="172">
        <f t="shared" si="3"/>
        <v>0</v>
      </c>
      <c r="G90" s="172"/>
      <c r="H90" s="172"/>
      <c r="I90" s="172">
        <v>0</v>
      </c>
      <c r="J90" s="172">
        <v>0</v>
      </c>
      <c r="K90" s="172">
        <v>0</v>
      </c>
      <c r="L90" s="213"/>
      <c r="M90" s="206"/>
      <c r="N90" s="148"/>
      <c r="O90" s="148"/>
      <c r="P90" s="173">
        <v>0</v>
      </c>
      <c r="Q90" s="185">
        <v>90220</v>
      </c>
      <c r="R90" s="5"/>
    </row>
    <row r="91" spans="1:18" ht="31.5" customHeight="1">
      <c r="A91" s="206"/>
      <c r="B91" s="213"/>
      <c r="C91" s="206"/>
      <c r="D91" s="206"/>
      <c r="E91" s="151">
        <v>2023</v>
      </c>
      <c r="F91" s="172">
        <f t="shared" si="3"/>
        <v>0</v>
      </c>
      <c r="G91" s="172"/>
      <c r="H91" s="172"/>
      <c r="I91" s="172">
        <v>0</v>
      </c>
      <c r="J91" s="172">
        <v>0</v>
      </c>
      <c r="K91" s="172">
        <v>0</v>
      </c>
      <c r="L91" s="213"/>
      <c r="M91" s="206"/>
      <c r="N91" s="148"/>
      <c r="O91" s="148"/>
      <c r="P91" s="173">
        <v>0</v>
      </c>
      <c r="Q91" s="185"/>
      <c r="R91" s="5"/>
    </row>
    <row r="92" spans="1:18" ht="32.25" customHeight="1">
      <c r="A92" s="207"/>
      <c r="B92" s="214"/>
      <c r="C92" s="207"/>
      <c r="D92" s="207"/>
      <c r="E92" s="151">
        <v>2024</v>
      </c>
      <c r="F92" s="172">
        <f t="shared" si="3"/>
        <v>0</v>
      </c>
      <c r="G92" s="172"/>
      <c r="H92" s="172"/>
      <c r="I92" s="172">
        <v>0</v>
      </c>
      <c r="J92" s="172">
        <v>0</v>
      </c>
      <c r="K92" s="172">
        <v>0</v>
      </c>
      <c r="L92" s="214"/>
      <c r="M92" s="207"/>
      <c r="N92" s="176">
        <v>100</v>
      </c>
      <c r="O92" s="176">
        <v>100</v>
      </c>
      <c r="P92" s="176">
        <v>0</v>
      </c>
      <c r="Q92" s="185"/>
      <c r="R92" s="5"/>
    </row>
    <row r="93" spans="1:18" ht="33" customHeight="1">
      <c r="A93" s="205" t="s">
        <v>191</v>
      </c>
      <c r="B93" s="208" t="s">
        <v>166</v>
      </c>
      <c r="C93" s="211" t="s">
        <v>45</v>
      </c>
      <c r="D93" s="211" t="s">
        <v>122</v>
      </c>
      <c r="E93" s="151">
        <v>2021</v>
      </c>
      <c r="F93" s="172">
        <f t="shared" si="3"/>
        <v>3960869.1</v>
      </c>
      <c r="G93" s="172"/>
      <c r="H93" s="172"/>
      <c r="I93" s="172">
        <f>1725000+2235869.1</f>
        <v>3960869.1</v>
      </c>
      <c r="J93" s="172">
        <v>0</v>
      </c>
      <c r="K93" s="172">
        <v>0</v>
      </c>
      <c r="L93" s="217" t="s">
        <v>192</v>
      </c>
      <c r="M93" s="215" t="s">
        <v>36</v>
      </c>
      <c r="N93" s="148"/>
      <c r="O93" s="148"/>
      <c r="P93" s="173">
        <v>100</v>
      </c>
      <c r="Q93" s="185"/>
      <c r="R93" s="5"/>
    </row>
    <row r="94" spans="1:18" ht="31.5" customHeight="1">
      <c r="A94" s="206"/>
      <c r="B94" s="213"/>
      <c r="C94" s="206"/>
      <c r="D94" s="206"/>
      <c r="E94" s="151">
        <v>2022</v>
      </c>
      <c r="F94" s="172">
        <f t="shared" si="3"/>
        <v>0</v>
      </c>
      <c r="G94" s="172"/>
      <c r="H94" s="172"/>
      <c r="I94" s="172">
        <v>0</v>
      </c>
      <c r="J94" s="172">
        <v>0</v>
      </c>
      <c r="K94" s="172">
        <v>0</v>
      </c>
      <c r="L94" s="213"/>
      <c r="M94" s="206"/>
      <c r="N94" s="148"/>
      <c r="O94" s="148"/>
      <c r="P94" s="173">
        <v>0</v>
      </c>
      <c r="Q94" s="185">
        <v>13060</v>
      </c>
      <c r="R94" s="5"/>
    </row>
    <row r="95" spans="1:18" ht="32.25" customHeight="1">
      <c r="A95" s="206"/>
      <c r="B95" s="213"/>
      <c r="C95" s="206"/>
      <c r="D95" s="206"/>
      <c r="E95" s="151">
        <v>2023</v>
      </c>
      <c r="F95" s="172">
        <f t="shared" si="3"/>
        <v>0</v>
      </c>
      <c r="G95" s="172"/>
      <c r="H95" s="172"/>
      <c r="I95" s="172">
        <v>0</v>
      </c>
      <c r="J95" s="172">
        <v>0</v>
      </c>
      <c r="K95" s="172">
        <v>0</v>
      </c>
      <c r="L95" s="213"/>
      <c r="M95" s="206"/>
      <c r="N95" s="148"/>
      <c r="O95" s="148"/>
      <c r="P95" s="173">
        <v>0</v>
      </c>
      <c r="Q95" s="185"/>
      <c r="R95" s="5"/>
    </row>
    <row r="96" spans="1:18" ht="30" customHeight="1">
      <c r="A96" s="207"/>
      <c r="B96" s="214"/>
      <c r="C96" s="207"/>
      <c r="D96" s="207"/>
      <c r="E96" s="151">
        <v>2024</v>
      </c>
      <c r="F96" s="172">
        <f t="shared" si="3"/>
        <v>0</v>
      </c>
      <c r="G96" s="172"/>
      <c r="H96" s="172"/>
      <c r="I96" s="172">
        <v>0</v>
      </c>
      <c r="J96" s="172">
        <v>0</v>
      </c>
      <c r="K96" s="172">
        <v>0</v>
      </c>
      <c r="L96" s="214"/>
      <c r="M96" s="207"/>
      <c r="N96" s="176">
        <v>100</v>
      </c>
      <c r="O96" s="176">
        <v>100</v>
      </c>
      <c r="P96" s="176">
        <v>0</v>
      </c>
      <c r="Q96" s="185"/>
      <c r="R96" s="5"/>
    </row>
    <row r="97" spans="1:18" ht="33" customHeight="1">
      <c r="A97" s="205" t="s">
        <v>196</v>
      </c>
      <c r="B97" s="208" t="s">
        <v>197</v>
      </c>
      <c r="C97" s="211" t="s">
        <v>45</v>
      </c>
      <c r="D97" s="211" t="s">
        <v>122</v>
      </c>
      <c r="E97" s="151">
        <v>2021</v>
      </c>
      <c r="F97" s="172">
        <f t="shared" si="3"/>
        <v>1622816</v>
      </c>
      <c r="G97" s="172"/>
      <c r="H97" s="172"/>
      <c r="I97" s="172">
        <v>1622816</v>
      </c>
      <c r="J97" s="172">
        <v>0</v>
      </c>
      <c r="K97" s="172">
        <v>0</v>
      </c>
      <c r="L97" s="217" t="s">
        <v>200</v>
      </c>
      <c r="M97" s="215" t="s">
        <v>36</v>
      </c>
      <c r="N97" s="148"/>
      <c r="O97" s="148"/>
      <c r="P97" s="173">
        <v>100</v>
      </c>
      <c r="Q97" s="185"/>
      <c r="R97" s="5"/>
    </row>
    <row r="98" spans="1:18" ht="32.25" customHeight="1">
      <c r="A98" s="206"/>
      <c r="B98" s="213"/>
      <c r="C98" s="206"/>
      <c r="D98" s="206"/>
      <c r="E98" s="151">
        <v>2022</v>
      </c>
      <c r="F98" s="172">
        <f t="shared" si="3"/>
        <v>0</v>
      </c>
      <c r="G98" s="172"/>
      <c r="H98" s="172"/>
      <c r="I98" s="172">
        <v>0</v>
      </c>
      <c r="J98" s="172">
        <v>0</v>
      </c>
      <c r="K98" s="172">
        <v>0</v>
      </c>
      <c r="L98" s="213"/>
      <c r="M98" s="206"/>
      <c r="N98" s="148"/>
      <c r="O98" s="148"/>
      <c r="P98" s="173">
        <v>0</v>
      </c>
      <c r="Q98" s="185"/>
      <c r="R98" s="5"/>
    </row>
    <row r="99" spans="1:18" ht="30" customHeight="1">
      <c r="A99" s="206"/>
      <c r="B99" s="213"/>
      <c r="C99" s="206"/>
      <c r="D99" s="206"/>
      <c r="E99" s="151">
        <v>2023</v>
      </c>
      <c r="F99" s="172">
        <f t="shared" si="3"/>
        <v>0</v>
      </c>
      <c r="G99" s="172"/>
      <c r="H99" s="172"/>
      <c r="I99" s="172">
        <v>0</v>
      </c>
      <c r="J99" s="172">
        <v>0</v>
      </c>
      <c r="K99" s="172">
        <v>0</v>
      </c>
      <c r="L99" s="213"/>
      <c r="M99" s="206"/>
      <c r="N99" s="148"/>
      <c r="O99" s="148"/>
      <c r="P99" s="173">
        <v>0</v>
      </c>
      <c r="Q99" s="185" t="s">
        <v>129</v>
      </c>
      <c r="R99" s="5"/>
    </row>
    <row r="100" spans="1:18" ht="28.5" customHeight="1">
      <c r="A100" s="207"/>
      <c r="B100" s="214"/>
      <c r="C100" s="207"/>
      <c r="D100" s="207"/>
      <c r="E100" s="151">
        <v>2024</v>
      </c>
      <c r="F100" s="172">
        <f t="shared" si="3"/>
        <v>0</v>
      </c>
      <c r="G100" s="172"/>
      <c r="H100" s="172"/>
      <c r="I100" s="172">
        <v>0</v>
      </c>
      <c r="J100" s="172">
        <v>0</v>
      </c>
      <c r="K100" s="172">
        <v>0</v>
      </c>
      <c r="L100" s="214"/>
      <c r="M100" s="207"/>
      <c r="N100" s="176">
        <v>100</v>
      </c>
      <c r="O100" s="176">
        <v>100</v>
      </c>
      <c r="P100" s="176">
        <v>0</v>
      </c>
      <c r="Q100" s="185"/>
      <c r="R100" s="5"/>
    </row>
    <row r="101" spans="1:18" ht="28.5" customHeight="1">
      <c r="A101" s="205" t="s">
        <v>199</v>
      </c>
      <c r="B101" s="208" t="s">
        <v>134</v>
      </c>
      <c r="C101" s="211" t="s">
        <v>45</v>
      </c>
      <c r="D101" s="211" t="s">
        <v>122</v>
      </c>
      <c r="E101" s="151">
        <v>2021</v>
      </c>
      <c r="F101" s="172">
        <f t="shared" si="3"/>
        <v>3053885</v>
      </c>
      <c r="G101" s="172"/>
      <c r="H101" s="172"/>
      <c r="I101" s="172">
        <v>0</v>
      </c>
      <c r="J101" s="172">
        <v>3053885</v>
      </c>
      <c r="K101" s="172">
        <v>0</v>
      </c>
      <c r="L101" s="217" t="s">
        <v>179</v>
      </c>
      <c r="M101" s="215" t="s">
        <v>198</v>
      </c>
      <c r="N101" s="148"/>
      <c r="O101" s="148"/>
      <c r="P101" s="173">
        <v>0</v>
      </c>
      <c r="Q101" s="185"/>
      <c r="R101" s="5"/>
    </row>
    <row r="102" spans="1:18" ht="28.5" customHeight="1">
      <c r="A102" s="206"/>
      <c r="B102" s="213"/>
      <c r="C102" s="206"/>
      <c r="D102" s="206"/>
      <c r="E102" s="151">
        <v>2022</v>
      </c>
      <c r="F102" s="172">
        <f t="shared" si="3"/>
        <v>0</v>
      </c>
      <c r="G102" s="172"/>
      <c r="H102" s="172"/>
      <c r="I102" s="172">
        <v>0</v>
      </c>
      <c r="J102" s="172">
        <v>0</v>
      </c>
      <c r="K102" s="172">
        <v>0</v>
      </c>
      <c r="L102" s="213"/>
      <c r="M102" s="206"/>
      <c r="N102" s="148"/>
      <c r="O102" s="148"/>
      <c r="P102" s="173">
        <v>0</v>
      </c>
      <c r="Q102" s="185"/>
      <c r="R102" s="5"/>
    </row>
    <row r="103" spans="1:18" ht="28.5" customHeight="1">
      <c r="A103" s="206"/>
      <c r="B103" s="213"/>
      <c r="C103" s="206"/>
      <c r="D103" s="206"/>
      <c r="E103" s="151">
        <v>2023</v>
      </c>
      <c r="F103" s="172">
        <f t="shared" si="3"/>
        <v>0</v>
      </c>
      <c r="G103" s="172"/>
      <c r="H103" s="172"/>
      <c r="I103" s="172">
        <v>0</v>
      </c>
      <c r="J103" s="172">
        <v>0</v>
      </c>
      <c r="K103" s="172">
        <v>0</v>
      </c>
      <c r="L103" s="213"/>
      <c r="M103" s="206"/>
      <c r="N103" s="148"/>
      <c r="O103" s="148"/>
      <c r="P103" s="173">
        <v>0</v>
      </c>
      <c r="Q103" s="185">
        <v>71100</v>
      </c>
      <c r="R103" s="5"/>
    </row>
    <row r="104" spans="1:18" ht="28.5" customHeight="1">
      <c r="A104" s="207"/>
      <c r="B104" s="214"/>
      <c r="C104" s="207"/>
      <c r="D104" s="207"/>
      <c r="E104" s="151">
        <v>2024</v>
      </c>
      <c r="F104" s="172">
        <f t="shared" si="3"/>
        <v>0</v>
      </c>
      <c r="G104" s="172"/>
      <c r="H104" s="172"/>
      <c r="I104" s="172">
        <v>0</v>
      </c>
      <c r="J104" s="172">
        <v>0</v>
      </c>
      <c r="K104" s="172">
        <v>0</v>
      </c>
      <c r="L104" s="214"/>
      <c r="M104" s="207"/>
      <c r="N104" s="176">
        <v>100</v>
      </c>
      <c r="O104" s="176">
        <v>100</v>
      </c>
      <c r="P104" s="176">
        <v>0</v>
      </c>
      <c r="Q104" s="185"/>
      <c r="R104" s="5"/>
    </row>
    <row r="105" spans="1:16" ht="22.5" customHeight="1">
      <c r="A105" s="276" t="s">
        <v>2</v>
      </c>
      <c r="B105" s="278" t="s">
        <v>84</v>
      </c>
      <c r="C105" s="280" t="s">
        <v>73</v>
      </c>
      <c r="D105" s="280" t="s">
        <v>122</v>
      </c>
      <c r="E105" s="150">
        <v>2021</v>
      </c>
      <c r="F105" s="3">
        <f>I105+J105+K105</f>
        <v>59808792.21</v>
      </c>
      <c r="G105" s="3" t="e">
        <f>G108+#REF!</f>
        <v>#REF!</v>
      </c>
      <c r="H105" s="3" t="e">
        <f>H108+#REF!</f>
        <v>#REF!</v>
      </c>
      <c r="I105" s="3">
        <f>I109+I113+I117+I121+I125</f>
        <v>59808792.21</v>
      </c>
      <c r="J105" s="3">
        <f>J109+J113+J117+J121</f>
        <v>0</v>
      </c>
      <c r="K105" s="3">
        <f>K109+K113+K117+K121</f>
        <v>0</v>
      </c>
      <c r="L105" s="212" t="s">
        <v>65</v>
      </c>
      <c r="M105" s="215" t="s">
        <v>115</v>
      </c>
      <c r="N105" s="128">
        <f>N112</f>
        <v>1550</v>
      </c>
      <c r="O105" s="128">
        <f>O112</f>
        <v>1700</v>
      </c>
      <c r="P105" s="173">
        <v>169285</v>
      </c>
    </row>
    <row r="106" spans="1:16" ht="25.5" customHeight="1">
      <c r="A106" s="277"/>
      <c r="B106" s="279"/>
      <c r="C106" s="281"/>
      <c r="D106" s="281"/>
      <c r="E106" s="150">
        <v>2022</v>
      </c>
      <c r="F106" s="3">
        <f>I106+J106+K106</f>
        <v>61132586.43</v>
      </c>
      <c r="G106" s="3"/>
      <c r="H106" s="3"/>
      <c r="I106" s="3">
        <f>I110+I114+I118+I122+I126</f>
        <v>61132586.43</v>
      </c>
      <c r="J106" s="3">
        <f aca="true" t="shared" si="4" ref="J106:K108">J110+J114+J118+J122</f>
        <v>0</v>
      </c>
      <c r="K106" s="3">
        <f t="shared" si="4"/>
        <v>0</v>
      </c>
      <c r="L106" s="248"/>
      <c r="M106" s="250"/>
      <c r="N106" s="128"/>
      <c r="O106" s="128"/>
      <c r="P106" s="173">
        <v>169285</v>
      </c>
    </row>
    <row r="107" spans="1:16" ht="23.25" customHeight="1">
      <c r="A107" s="277"/>
      <c r="B107" s="279"/>
      <c r="C107" s="281"/>
      <c r="D107" s="281"/>
      <c r="E107" s="150">
        <v>2023</v>
      </c>
      <c r="F107" s="3">
        <f>I107+J107+K107</f>
        <v>61394905.43</v>
      </c>
      <c r="G107" s="3"/>
      <c r="H107" s="3"/>
      <c r="I107" s="3">
        <f>I111+I115+I119+I123+I127</f>
        <v>61394905.43</v>
      </c>
      <c r="J107" s="3">
        <f t="shared" si="4"/>
        <v>0</v>
      </c>
      <c r="K107" s="3">
        <f t="shared" si="4"/>
        <v>0</v>
      </c>
      <c r="L107" s="248"/>
      <c r="M107" s="250"/>
      <c r="N107" s="128"/>
      <c r="O107" s="128"/>
      <c r="P107" s="173">
        <v>169285</v>
      </c>
    </row>
    <row r="108" spans="1:16" ht="23.25" customHeight="1">
      <c r="A108" s="277"/>
      <c r="B108" s="279"/>
      <c r="C108" s="281"/>
      <c r="D108" s="281"/>
      <c r="E108" s="156">
        <v>2024</v>
      </c>
      <c r="F108" s="3">
        <f>I108+J108+K108</f>
        <v>65227414.51</v>
      </c>
      <c r="G108" s="149"/>
      <c r="H108" s="149"/>
      <c r="I108" s="3">
        <f>I112+I116+I120+I124+I128</f>
        <v>65227414.51</v>
      </c>
      <c r="J108" s="3">
        <f t="shared" si="4"/>
        <v>0</v>
      </c>
      <c r="K108" s="3">
        <f t="shared" si="4"/>
        <v>0</v>
      </c>
      <c r="L108" s="248"/>
      <c r="M108" s="250"/>
      <c r="N108" s="157" t="e">
        <f>#REF!</f>
        <v>#REF!</v>
      </c>
      <c r="O108" s="157" t="e">
        <f>#REF!</f>
        <v>#REF!</v>
      </c>
      <c r="P108" s="173">
        <v>169285</v>
      </c>
    </row>
    <row r="109" spans="1:17" ht="23.25" customHeight="1">
      <c r="A109" s="205" t="s">
        <v>51</v>
      </c>
      <c r="B109" s="288" t="s">
        <v>14</v>
      </c>
      <c r="C109" s="211" t="s">
        <v>73</v>
      </c>
      <c r="D109" s="211" t="s">
        <v>122</v>
      </c>
      <c r="E109" s="151">
        <v>2021</v>
      </c>
      <c r="F109" s="126">
        <f t="shared" si="3"/>
        <v>23698828.61</v>
      </c>
      <c r="G109" s="3"/>
      <c r="H109" s="3"/>
      <c r="I109" s="126">
        <f>22332954.25-102282.55+1468156.91</f>
        <v>23698828.61</v>
      </c>
      <c r="J109" s="126">
        <v>0</v>
      </c>
      <c r="K109" s="126">
        <v>0</v>
      </c>
      <c r="L109" s="212" t="s">
        <v>110</v>
      </c>
      <c r="M109" s="215" t="s">
        <v>36</v>
      </c>
      <c r="N109" s="175"/>
      <c r="O109" s="175"/>
      <c r="P109" s="158">
        <v>100</v>
      </c>
      <c r="Q109" s="286">
        <v>23060</v>
      </c>
    </row>
    <row r="110" spans="1:17" ht="23.25" customHeight="1">
      <c r="A110" s="206"/>
      <c r="B110" s="209"/>
      <c r="C110" s="206"/>
      <c r="D110" s="206"/>
      <c r="E110" s="151">
        <v>2022</v>
      </c>
      <c r="F110" s="126">
        <f t="shared" si="3"/>
        <v>61132586.43</v>
      </c>
      <c r="G110" s="3"/>
      <c r="H110" s="3"/>
      <c r="I110" s="126">
        <v>61132586.43</v>
      </c>
      <c r="J110" s="126">
        <v>0</v>
      </c>
      <c r="K110" s="126">
        <v>0</v>
      </c>
      <c r="L110" s="213"/>
      <c r="M110" s="206"/>
      <c r="N110" s="175"/>
      <c r="O110" s="175"/>
      <c r="P110" s="158">
        <v>100</v>
      </c>
      <c r="Q110" s="231"/>
    </row>
    <row r="111" spans="1:17" ht="23.25" customHeight="1">
      <c r="A111" s="206"/>
      <c r="B111" s="209"/>
      <c r="C111" s="206"/>
      <c r="D111" s="206"/>
      <c r="E111" s="151">
        <v>2023</v>
      </c>
      <c r="F111" s="126">
        <f t="shared" si="3"/>
        <v>61394905.43</v>
      </c>
      <c r="G111" s="3"/>
      <c r="H111" s="3"/>
      <c r="I111" s="126">
        <v>61394905.43</v>
      </c>
      <c r="J111" s="126">
        <v>0</v>
      </c>
      <c r="K111" s="126">
        <v>0</v>
      </c>
      <c r="L111" s="213"/>
      <c r="M111" s="206"/>
      <c r="N111" s="175"/>
      <c r="O111" s="175"/>
      <c r="P111" s="158">
        <v>100</v>
      </c>
      <c r="Q111" s="231"/>
    </row>
    <row r="112" spans="1:17" ht="27" customHeight="1">
      <c r="A112" s="207"/>
      <c r="B112" s="210"/>
      <c r="C112" s="207"/>
      <c r="D112" s="207"/>
      <c r="E112" s="151">
        <v>2024</v>
      </c>
      <c r="F112" s="126">
        <f t="shared" si="3"/>
        <v>65227414.51</v>
      </c>
      <c r="G112" s="126"/>
      <c r="H112" s="126"/>
      <c r="I112" s="126">
        <v>65227414.51</v>
      </c>
      <c r="J112" s="126">
        <v>0</v>
      </c>
      <c r="K112" s="126">
        <v>0</v>
      </c>
      <c r="L112" s="214"/>
      <c r="M112" s="207"/>
      <c r="N112" s="176">
        <v>1550</v>
      </c>
      <c r="O112" s="176">
        <v>1700</v>
      </c>
      <c r="P112" s="158">
        <v>100</v>
      </c>
      <c r="Q112" s="231"/>
    </row>
    <row r="113" spans="1:17" ht="27" customHeight="1">
      <c r="A113" s="205" t="s">
        <v>52</v>
      </c>
      <c r="B113" s="208" t="s">
        <v>155</v>
      </c>
      <c r="C113" s="211" t="s">
        <v>73</v>
      </c>
      <c r="D113" s="211" t="s">
        <v>122</v>
      </c>
      <c r="E113" s="151">
        <v>2021</v>
      </c>
      <c r="F113" s="125">
        <f t="shared" si="3"/>
        <v>34958008.25</v>
      </c>
      <c r="G113" s="126"/>
      <c r="H113" s="126"/>
      <c r="I113" s="126">
        <f>32704773.95-2026073.21+4279307.51</f>
        <v>34958008.25</v>
      </c>
      <c r="J113" s="126">
        <v>0</v>
      </c>
      <c r="K113" s="126">
        <v>0</v>
      </c>
      <c r="L113" s="212" t="s">
        <v>156</v>
      </c>
      <c r="M113" s="215" t="s">
        <v>36</v>
      </c>
      <c r="N113" s="131"/>
      <c r="O113" s="131"/>
      <c r="P113" s="132">
        <v>100</v>
      </c>
      <c r="Q113" s="287" t="s">
        <v>137</v>
      </c>
    </row>
    <row r="114" spans="1:17" ht="27" customHeight="1">
      <c r="A114" s="206"/>
      <c r="B114" s="209"/>
      <c r="C114" s="206"/>
      <c r="D114" s="206"/>
      <c r="E114" s="151">
        <v>2022</v>
      </c>
      <c r="F114" s="125">
        <f t="shared" si="3"/>
        <v>0</v>
      </c>
      <c r="G114" s="126"/>
      <c r="H114" s="126"/>
      <c r="I114" s="126">
        <v>0</v>
      </c>
      <c r="J114" s="126">
        <v>0</v>
      </c>
      <c r="K114" s="126">
        <v>0</v>
      </c>
      <c r="L114" s="213"/>
      <c r="M114" s="206"/>
      <c r="N114" s="131"/>
      <c r="O114" s="131"/>
      <c r="P114" s="132">
        <v>0</v>
      </c>
      <c r="Q114" s="231"/>
    </row>
    <row r="115" spans="1:17" ht="27" customHeight="1">
      <c r="A115" s="206"/>
      <c r="B115" s="209"/>
      <c r="C115" s="206"/>
      <c r="D115" s="206"/>
      <c r="E115" s="151">
        <v>2023</v>
      </c>
      <c r="F115" s="125">
        <f t="shared" si="3"/>
        <v>0</v>
      </c>
      <c r="G115" s="126"/>
      <c r="H115" s="126"/>
      <c r="I115" s="126">
        <v>0</v>
      </c>
      <c r="J115" s="126">
        <v>0</v>
      </c>
      <c r="K115" s="126">
        <v>0</v>
      </c>
      <c r="L115" s="213"/>
      <c r="M115" s="206"/>
      <c r="N115" s="131"/>
      <c r="O115" s="131"/>
      <c r="P115" s="132">
        <v>0</v>
      </c>
      <c r="Q115" s="231"/>
    </row>
    <row r="116" spans="1:17" ht="27" customHeight="1">
      <c r="A116" s="207"/>
      <c r="B116" s="210"/>
      <c r="C116" s="207"/>
      <c r="D116" s="207"/>
      <c r="E116" s="151">
        <v>2024</v>
      </c>
      <c r="F116" s="125">
        <f t="shared" si="3"/>
        <v>0</v>
      </c>
      <c r="G116" s="126"/>
      <c r="H116" s="126"/>
      <c r="I116" s="126">
        <v>0</v>
      </c>
      <c r="J116" s="126">
        <v>0</v>
      </c>
      <c r="K116" s="126">
        <v>0</v>
      </c>
      <c r="L116" s="214"/>
      <c r="M116" s="207"/>
      <c r="N116" s="131"/>
      <c r="O116" s="131"/>
      <c r="P116" s="132">
        <v>0</v>
      </c>
      <c r="Q116" s="231"/>
    </row>
    <row r="117" spans="1:17" ht="27" customHeight="1">
      <c r="A117" s="205" t="s">
        <v>201</v>
      </c>
      <c r="B117" s="208" t="s">
        <v>166</v>
      </c>
      <c r="C117" s="211" t="s">
        <v>73</v>
      </c>
      <c r="D117" s="211" t="s">
        <v>122</v>
      </c>
      <c r="E117" s="151">
        <v>2021</v>
      </c>
      <c r="F117" s="125">
        <f t="shared" si="3"/>
        <v>785087.15</v>
      </c>
      <c r="G117" s="126"/>
      <c r="H117" s="126"/>
      <c r="I117" s="126">
        <f>620000+165087.15</f>
        <v>785087.15</v>
      </c>
      <c r="J117" s="126">
        <v>0</v>
      </c>
      <c r="K117" s="126">
        <v>0</v>
      </c>
      <c r="L117" s="212" t="s">
        <v>202</v>
      </c>
      <c r="M117" s="215" t="s">
        <v>36</v>
      </c>
      <c r="N117" s="131"/>
      <c r="O117" s="131"/>
      <c r="P117" s="132">
        <v>100</v>
      </c>
      <c r="Q117" s="185"/>
    </row>
    <row r="118" spans="1:17" ht="27" customHeight="1">
      <c r="A118" s="206"/>
      <c r="B118" s="209"/>
      <c r="C118" s="206"/>
      <c r="D118" s="206"/>
      <c r="E118" s="151">
        <v>2022</v>
      </c>
      <c r="F118" s="125">
        <f t="shared" si="3"/>
        <v>0</v>
      </c>
      <c r="G118" s="126"/>
      <c r="H118" s="126"/>
      <c r="I118" s="126">
        <v>0</v>
      </c>
      <c r="J118" s="126">
        <v>0</v>
      </c>
      <c r="K118" s="126">
        <v>0</v>
      </c>
      <c r="L118" s="213"/>
      <c r="M118" s="206"/>
      <c r="N118" s="131"/>
      <c r="O118" s="131"/>
      <c r="P118" s="132">
        <v>0</v>
      </c>
      <c r="Q118" s="185"/>
    </row>
    <row r="119" spans="1:17" ht="27" customHeight="1">
      <c r="A119" s="206"/>
      <c r="B119" s="209"/>
      <c r="C119" s="206"/>
      <c r="D119" s="206"/>
      <c r="E119" s="151">
        <v>2023</v>
      </c>
      <c r="F119" s="125">
        <f t="shared" si="3"/>
        <v>0</v>
      </c>
      <c r="G119" s="126"/>
      <c r="H119" s="126"/>
      <c r="I119" s="126">
        <v>0</v>
      </c>
      <c r="J119" s="126">
        <v>0</v>
      </c>
      <c r="K119" s="126">
        <v>0</v>
      </c>
      <c r="L119" s="213"/>
      <c r="M119" s="206"/>
      <c r="N119" s="131"/>
      <c r="O119" s="131"/>
      <c r="P119" s="132">
        <v>0</v>
      </c>
      <c r="Q119" s="185">
        <v>13060</v>
      </c>
    </row>
    <row r="120" spans="1:17" ht="27" customHeight="1">
      <c r="A120" s="207"/>
      <c r="B120" s="210"/>
      <c r="C120" s="207"/>
      <c r="D120" s="207"/>
      <c r="E120" s="151">
        <v>2024</v>
      </c>
      <c r="F120" s="125">
        <f t="shared" si="3"/>
        <v>0</v>
      </c>
      <c r="G120" s="126"/>
      <c r="H120" s="126"/>
      <c r="I120" s="126">
        <v>0</v>
      </c>
      <c r="J120" s="126">
        <v>0</v>
      </c>
      <c r="K120" s="126">
        <v>0</v>
      </c>
      <c r="L120" s="214"/>
      <c r="M120" s="207"/>
      <c r="N120" s="131"/>
      <c r="O120" s="131"/>
      <c r="P120" s="132">
        <v>0</v>
      </c>
      <c r="Q120" s="185"/>
    </row>
    <row r="121" spans="1:17" ht="27" customHeight="1">
      <c r="A121" s="205" t="s">
        <v>203</v>
      </c>
      <c r="B121" s="208" t="s">
        <v>172</v>
      </c>
      <c r="C121" s="211" t="s">
        <v>73</v>
      </c>
      <c r="D121" s="211" t="s">
        <v>122</v>
      </c>
      <c r="E121" s="151">
        <v>2021</v>
      </c>
      <c r="F121" s="125">
        <f t="shared" si="3"/>
        <v>115193.32</v>
      </c>
      <c r="G121" s="126"/>
      <c r="H121" s="126"/>
      <c r="I121" s="126">
        <v>115193.32</v>
      </c>
      <c r="J121" s="126">
        <v>0</v>
      </c>
      <c r="K121" s="126">
        <v>0</v>
      </c>
      <c r="L121" s="212" t="s">
        <v>205</v>
      </c>
      <c r="M121" s="215" t="s">
        <v>36</v>
      </c>
      <c r="N121" s="131"/>
      <c r="O121" s="131"/>
      <c r="P121" s="132">
        <v>100</v>
      </c>
      <c r="Q121" s="185"/>
    </row>
    <row r="122" spans="1:17" ht="27" customHeight="1">
      <c r="A122" s="206"/>
      <c r="B122" s="209"/>
      <c r="C122" s="206"/>
      <c r="D122" s="206"/>
      <c r="E122" s="151">
        <v>2022</v>
      </c>
      <c r="F122" s="125">
        <f t="shared" si="3"/>
        <v>0</v>
      </c>
      <c r="G122" s="126"/>
      <c r="H122" s="126"/>
      <c r="I122" s="126">
        <v>0</v>
      </c>
      <c r="J122" s="126">
        <v>0</v>
      </c>
      <c r="K122" s="126">
        <v>0</v>
      </c>
      <c r="L122" s="213"/>
      <c r="M122" s="206"/>
      <c r="N122" s="131"/>
      <c r="O122" s="131"/>
      <c r="P122" s="132">
        <v>0</v>
      </c>
      <c r="Q122" s="185">
        <v>90230</v>
      </c>
    </row>
    <row r="123" spans="1:17" ht="27" customHeight="1">
      <c r="A123" s="206"/>
      <c r="B123" s="209"/>
      <c r="C123" s="206"/>
      <c r="D123" s="206"/>
      <c r="E123" s="151">
        <v>2023</v>
      </c>
      <c r="F123" s="125">
        <f t="shared" si="3"/>
        <v>0</v>
      </c>
      <c r="G123" s="126"/>
      <c r="H123" s="126"/>
      <c r="I123" s="126">
        <v>0</v>
      </c>
      <c r="J123" s="126">
        <v>0</v>
      </c>
      <c r="K123" s="126">
        <v>0</v>
      </c>
      <c r="L123" s="213"/>
      <c r="M123" s="206"/>
      <c r="N123" s="131"/>
      <c r="O123" s="131"/>
      <c r="P123" s="132">
        <v>0</v>
      </c>
      <c r="Q123" s="185"/>
    </row>
    <row r="124" spans="1:17" ht="27" customHeight="1">
      <c r="A124" s="207"/>
      <c r="B124" s="210"/>
      <c r="C124" s="207"/>
      <c r="D124" s="207"/>
      <c r="E124" s="151">
        <v>2024</v>
      </c>
      <c r="F124" s="125">
        <f t="shared" si="3"/>
        <v>0</v>
      </c>
      <c r="G124" s="126"/>
      <c r="H124" s="126"/>
      <c r="I124" s="126">
        <v>0</v>
      </c>
      <c r="J124" s="126">
        <v>0</v>
      </c>
      <c r="K124" s="126">
        <v>0</v>
      </c>
      <c r="L124" s="214"/>
      <c r="M124" s="207"/>
      <c r="N124" s="131"/>
      <c r="O124" s="131"/>
      <c r="P124" s="132">
        <v>0</v>
      </c>
      <c r="Q124" s="185"/>
    </row>
    <row r="125" spans="1:17" ht="27" customHeight="1">
      <c r="A125" s="205" t="s">
        <v>224</v>
      </c>
      <c r="B125" s="208" t="s">
        <v>204</v>
      </c>
      <c r="C125" s="211" t="s">
        <v>73</v>
      </c>
      <c r="D125" s="211" t="s">
        <v>122</v>
      </c>
      <c r="E125" s="151">
        <v>2021</v>
      </c>
      <c r="F125" s="125">
        <f>I125+J125+K125</f>
        <v>251674.87999999998</v>
      </c>
      <c r="G125" s="126"/>
      <c r="H125" s="126"/>
      <c r="I125" s="126">
        <f>493668.47-241993.59</f>
        <v>251674.87999999998</v>
      </c>
      <c r="J125" s="126">
        <v>0</v>
      </c>
      <c r="K125" s="126">
        <v>0</v>
      </c>
      <c r="L125" s="212" t="s">
        <v>223</v>
      </c>
      <c r="M125" s="215" t="s">
        <v>36</v>
      </c>
      <c r="N125" s="131"/>
      <c r="O125" s="131"/>
      <c r="P125" s="132">
        <v>100</v>
      </c>
      <c r="Q125" s="185"/>
    </row>
    <row r="126" spans="1:17" ht="27" customHeight="1">
      <c r="A126" s="206"/>
      <c r="B126" s="209"/>
      <c r="C126" s="206"/>
      <c r="D126" s="206"/>
      <c r="E126" s="151">
        <v>2022</v>
      </c>
      <c r="F126" s="125">
        <f>I126+J126+K126</f>
        <v>0</v>
      </c>
      <c r="G126" s="126"/>
      <c r="H126" s="126"/>
      <c r="I126" s="126">
        <v>0</v>
      </c>
      <c r="J126" s="126">
        <v>0</v>
      </c>
      <c r="K126" s="126">
        <v>0</v>
      </c>
      <c r="L126" s="213"/>
      <c r="M126" s="206"/>
      <c r="N126" s="131"/>
      <c r="O126" s="131"/>
      <c r="P126" s="132">
        <v>0</v>
      </c>
      <c r="Q126" s="185">
        <v>90220</v>
      </c>
    </row>
    <row r="127" spans="1:17" ht="27" customHeight="1">
      <c r="A127" s="206"/>
      <c r="B127" s="209"/>
      <c r="C127" s="206"/>
      <c r="D127" s="206"/>
      <c r="E127" s="151">
        <v>2023</v>
      </c>
      <c r="F127" s="125">
        <f>I127+J127+K127</f>
        <v>0</v>
      </c>
      <c r="G127" s="126"/>
      <c r="H127" s="126"/>
      <c r="I127" s="126">
        <v>0</v>
      </c>
      <c r="J127" s="126">
        <v>0</v>
      </c>
      <c r="K127" s="126">
        <v>0</v>
      </c>
      <c r="L127" s="213"/>
      <c r="M127" s="206"/>
      <c r="N127" s="131"/>
      <c r="O127" s="131"/>
      <c r="P127" s="132">
        <v>0</v>
      </c>
      <c r="Q127" s="185"/>
    </row>
    <row r="128" spans="1:17" ht="27" customHeight="1">
      <c r="A128" s="207"/>
      <c r="B128" s="210"/>
      <c r="C128" s="207"/>
      <c r="D128" s="207"/>
      <c r="E128" s="151">
        <v>2024</v>
      </c>
      <c r="F128" s="125">
        <f>I128+J128+K128</f>
        <v>0</v>
      </c>
      <c r="G128" s="126"/>
      <c r="H128" s="126"/>
      <c r="I128" s="126">
        <v>0</v>
      </c>
      <c r="J128" s="126">
        <v>0</v>
      </c>
      <c r="K128" s="126">
        <v>0</v>
      </c>
      <c r="L128" s="214"/>
      <c r="M128" s="207"/>
      <c r="N128" s="131"/>
      <c r="O128" s="131"/>
      <c r="P128" s="132">
        <v>0</v>
      </c>
      <c r="Q128" s="185"/>
    </row>
    <row r="129" spans="1:16" ht="28.5" customHeight="1">
      <c r="A129" s="276" t="s">
        <v>3</v>
      </c>
      <c r="B129" s="278" t="s">
        <v>85</v>
      </c>
      <c r="C129" s="280" t="s">
        <v>125</v>
      </c>
      <c r="D129" s="211" t="s">
        <v>120</v>
      </c>
      <c r="E129" s="150">
        <v>2021</v>
      </c>
      <c r="F129" s="3">
        <f t="shared" si="3"/>
        <v>0</v>
      </c>
      <c r="G129" s="3">
        <f>G131+G132</f>
        <v>0</v>
      </c>
      <c r="H129" s="3">
        <f>H131+H132</f>
        <v>0</v>
      </c>
      <c r="I129" s="3">
        <f>I133</f>
        <v>0</v>
      </c>
      <c r="J129" s="3">
        <f>J133</f>
        <v>0</v>
      </c>
      <c r="K129" s="3">
        <f>K133</f>
        <v>0</v>
      </c>
      <c r="L129" s="282" t="s">
        <v>111</v>
      </c>
      <c r="M129" s="284" t="s">
        <v>36</v>
      </c>
      <c r="N129" s="176"/>
      <c r="O129" s="145"/>
      <c r="P129" s="159">
        <v>51.8</v>
      </c>
    </row>
    <row r="130" spans="1:16" ht="23.25" customHeight="1">
      <c r="A130" s="277"/>
      <c r="B130" s="279"/>
      <c r="C130" s="281"/>
      <c r="D130" s="218"/>
      <c r="E130" s="150">
        <v>2022</v>
      </c>
      <c r="F130" s="3">
        <f t="shared" si="3"/>
        <v>307665.67</v>
      </c>
      <c r="G130" s="3"/>
      <c r="H130" s="3"/>
      <c r="I130" s="3">
        <f aca="true" t="shared" si="5" ref="I130:K132">I134</f>
        <v>307665.67</v>
      </c>
      <c r="J130" s="3">
        <f t="shared" si="5"/>
        <v>0</v>
      </c>
      <c r="K130" s="3">
        <f t="shared" si="5"/>
        <v>0</v>
      </c>
      <c r="L130" s="283"/>
      <c r="M130" s="285"/>
      <c r="N130" s="176"/>
      <c r="O130" s="145"/>
      <c r="P130" s="159">
        <v>51.8</v>
      </c>
    </row>
    <row r="131" spans="1:16" ht="27" customHeight="1">
      <c r="A131" s="272"/>
      <c r="B131" s="274"/>
      <c r="C131" s="272"/>
      <c r="D131" s="272"/>
      <c r="E131" s="150">
        <v>2023</v>
      </c>
      <c r="F131" s="3">
        <f t="shared" si="3"/>
        <v>307665.67</v>
      </c>
      <c r="G131" s="118"/>
      <c r="H131" s="118"/>
      <c r="I131" s="3">
        <f t="shared" si="5"/>
        <v>307665.67</v>
      </c>
      <c r="J131" s="3">
        <f t="shared" si="5"/>
        <v>0</v>
      </c>
      <c r="K131" s="3">
        <f t="shared" si="5"/>
        <v>0</v>
      </c>
      <c r="L131" s="274"/>
      <c r="M131" s="272"/>
      <c r="N131" s="176"/>
      <c r="O131" s="145"/>
      <c r="P131" s="159">
        <v>51.8</v>
      </c>
    </row>
    <row r="132" spans="1:16" ht="26.25" customHeight="1">
      <c r="A132" s="273"/>
      <c r="B132" s="275"/>
      <c r="C132" s="273"/>
      <c r="D132" s="273"/>
      <c r="E132" s="156">
        <v>2024</v>
      </c>
      <c r="F132" s="3">
        <f t="shared" si="3"/>
        <v>307665.67</v>
      </c>
      <c r="G132" s="3"/>
      <c r="H132" s="3"/>
      <c r="I132" s="3">
        <f t="shared" si="5"/>
        <v>307665.67</v>
      </c>
      <c r="J132" s="3">
        <f t="shared" si="5"/>
        <v>0</v>
      </c>
      <c r="K132" s="3">
        <f t="shared" si="5"/>
        <v>0</v>
      </c>
      <c r="L132" s="275"/>
      <c r="M132" s="273"/>
      <c r="N132" s="136"/>
      <c r="O132" s="136"/>
      <c r="P132" s="159">
        <v>51.8</v>
      </c>
    </row>
    <row r="133" spans="1:17" ht="26.25" customHeight="1">
      <c r="A133" s="205" t="s">
        <v>53</v>
      </c>
      <c r="B133" s="208" t="s">
        <v>163</v>
      </c>
      <c r="C133" s="211" t="s">
        <v>125</v>
      </c>
      <c r="D133" s="211" t="s">
        <v>120</v>
      </c>
      <c r="E133" s="151">
        <v>2021</v>
      </c>
      <c r="F133" s="126">
        <f>I133+J133+K133</f>
        <v>0</v>
      </c>
      <c r="G133" s="3"/>
      <c r="H133" s="3"/>
      <c r="I133" s="126">
        <f>1883207.43-1883207.43</f>
        <v>0</v>
      </c>
      <c r="J133" s="126">
        <v>0</v>
      </c>
      <c r="K133" s="126">
        <v>0</v>
      </c>
      <c r="L133" s="212" t="s">
        <v>159</v>
      </c>
      <c r="M133" s="215" t="s">
        <v>112</v>
      </c>
      <c r="N133" s="160"/>
      <c r="O133" s="160"/>
      <c r="P133" s="187">
        <v>0</v>
      </c>
      <c r="Q133" s="260">
        <v>23080</v>
      </c>
    </row>
    <row r="134" spans="1:17" ht="26.25" customHeight="1">
      <c r="A134" s="272"/>
      <c r="B134" s="274"/>
      <c r="C134" s="272"/>
      <c r="D134" s="272"/>
      <c r="E134" s="151">
        <v>2022</v>
      </c>
      <c r="F134" s="126">
        <f t="shared" si="3"/>
        <v>307665.67</v>
      </c>
      <c r="G134" s="3"/>
      <c r="H134" s="3"/>
      <c r="I134" s="126">
        <v>307665.67</v>
      </c>
      <c r="J134" s="126">
        <v>0</v>
      </c>
      <c r="K134" s="126">
        <v>0</v>
      </c>
      <c r="L134" s="274"/>
      <c r="M134" s="272"/>
      <c r="N134" s="160"/>
      <c r="O134" s="160"/>
      <c r="P134" s="187">
        <v>6</v>
      </c>
      <c r="Q134" s="231"/>
    </row>
    <row r="135" spans="1:17" ht="26.25" customHeight="1">
      <c r="A135" s="272"/>
      <c r="B135" s="274"/>
      <c r="C135" s="272"/>
      <c r="D135" s="272"/>
      <c r="E135" s="151">
        <v>2023</v>
      </c>
      <c r="F135" s="126">
        <f t="shared" si="3"/>
        <v>307665.67</v>
      </c>
      <c r="G135" s="3"/>
      <c r="H135" s="3"/>
      <c r="I135" s="126">
        <v>307665.67</v>
      </c>
      <c r="J135" s="126">
        <v>0</v>
      </c>
      <c r="K135" s="126">
        <v>0</v>
      </c>
      <c r="L135" s="274"/>
      <c r="M135" s="272"/>
      <c r="N135" s="160"/>
      <c r="O135" s="160"/>
      <c r="P135" s="187">
        <v>6</v>
      </c>
      <c r="Q135" s="231"/>
    </row>
    <row r="136" spans="1:17" ht="29.25" customHeight="1">
      <c r="A136" s="273"/>
      <c r="B136" s="275"/>
      <c r="C136" s="273"/>
      <c r="D136" s="273"/>
      <c r="E136" s="151">
        <v>2024</v>
      </c>
      <c r="F136" s="172">
        <f aca="true" t="shared" si="6" ref="F136:F145">I136+J136+K136</f>
        <v>307665.67</v>
      </c>
      <c r="G136" s="172"/>
      <c r="H136" s="172"/>
      <c r="I136" s="126">
        <v>307665.67</v>
      </c>
      <c r="J136" s="172">
        <v>0</v>
      </c>
      <c r="K136" s="172">
        <v>0</v>
      </c>
      <c r="L136" s="275"/>
      <c r="M136" s="273"/>
      <c r="N136" s="143"/>
      <c r="O136" s="143"/>
      <c r="P136" s="144">
        <v>0</v>
      </c>
      <c r="Q136" s="231"/>
    </row>
    <row r="137" spans="1:17" ht="19.5" customHeight="1">
      <c r="A137" s="261" t="s">
        <v>4</v>
      </c>
      <c r="B137" s="263" t="s">
        <v>86</v>
      </c>
      <c r="C137" s="265" t="s">
        <v>74</v>
      </c>
      <c r="D137" s="265" t="s">
        <v>120</v>
      </c>
      <c r="E137" s="150">
        <v>2021</v>
      </c>
      <c r="F137" s="3">
        <f t="shared" si="6"/>
        <v>50385190.370000005</v>
      </c>
      <c r="G137" s="140"/>
      <c r="H137" s="140"/>
      <c r="I137" s="130">
        <f>I141+I145+I149+I153+I157+I161</f>
        <v>18473508.37</v>
      </c>
      <c r="J137" s="130">
        <f>J141+J145+J149+J153+J157+J161</f>
        <v>31911682</v>
      </c>
      <c r="K137" s="130">
        <f>K141+K145+K149+K153+K157+K161</f>
        <v>0</v>
      </c>
      <c r="L137" s="267" t="s">
        <v>162</v>
      </c>
      <c r="M137" s="270" t="s">
        <v>36</v>
      </c>
      <c r="N137" s="137"/>
      <c r="O137" s="137"/>
      <c r="P137" s="174">
        <v>93.5</v>
      </c>
      <c r="Q137" s="179"/>
    </row>
    <row r="138" spans="1:16" ht="22.5" customHeight="1">
      <c r="A138" s="262"/>
      <c r="B138" s="264"/>
      <c r="C138" s="266"/>
      <c r="D138" s="266"/>
      <c r="E138" s="150">
        <v>2022</v>
      </c>
      <c r="F138" s="3">
        <f t="shared" si="6"/>
        <v>61074379.8</v>
      </c>
      <c r="G138" s="147"/>
      <c r="H138" s="147"/>
      <c r="I138" s="130">
        <f aca="true" t="shared" si="7" ref="I138:J140">I142+I146+I150+I154+I158+I162</f>
        <v>25669681.799999997</v>
      </c>
      <c r="J138" s="130">
        <f t="shared" si="7"/>
        <v>35404698</v>
      </c>
      <c r="K138" s="130">
        <f>K142+K146+K150+K154+K158+K162</f>
        <v>0</v>
      </c>
      <c r="L138" s="268"/>
      <c r="M138" s="270"/>
      <c r="N138" s="138"/>
      <c r="O138" s="138"/>
      <c r="P138" s="174">
        <v>93.5</v>
      </c>
    </row>
    <row r="139" spans="1:16" ht="18.75" customHeight="1">
      <c r="A139" s="262"/>
      <c r="B139" s="264"/>
      <c r="C139" s="266"/>
      <c r="D139" s="266"/>
      <c r="E139" s="150">
        <v>2023</v>
      </c>
      <c r="F139" s="3">
        <f t="shared" si="6"/>
        <v>61625480.82</v>
      </c>
      <c r="G139" s="3"/>
      <c r="H139" s="3"/>
      <c r="I139" s="130">
        <f t="shared" si="7"/>
        <v>25672611.82</v>
      </c>
      <c r="J139" s="130">
        <f t="shared" si="7"/>
        <v>35952869</v>
      </c>
      <c r="K139" s="130">
        <f>K143+K147+K151+K155+K159+K163</f>
        <v>0</v>
      </c>
      <c r="L139" s="268"/>
      <c r="M139" s="270"/>
      <c r="N139" s="138"/>
      <c r="O139" s="138"/>
      <c r="P139" s="174">
        <v>93.5</v>
      </c>
    </row>
    <row r="140" spans="1:16" ht="24" customHeight="1">
      <c r="A140" s="207"/>
      <c r="B140" s="214"/>
      <c r="C140" s="207"/>
      <c r="D140" s="207"/>
      <c r="E140" s="156">
        <v>2024</v>
      </c>
      <c r="F140" s="3">
        <f t="shared" si="6"/>
        <v>62983560.41</v>
      </c>
      <c r="G140" s="3"/>
      <c r="H140" s="3"/>
      <c r="I140" s="130">
        <f t="shared" si="7"/>
        <v>25690331.41</v>
      </c>
      <c r="J140" s="130">
        <f t="shared" si="7"/>
        <v>37293229</v>
      </c>
      <c r="K140" s="130">
        <f>K144+K148+K152+K156+K160+K164</f>
        <v>0</v>
      </c>
      <c r="L140" s="269"/>
      <c r="M140" s="271"/>
      <c r="N140" s="142"/>
      <c r="O140" s="141"/>
      <c r="P140" s="174">
        <v>93.5</v>
      </c>
    </row>
    <row r="141" spans="1:17" ht="26.25" customHeight="1">
      <c r="A141" s="247" t="s">
        <v>56</v>
      </c>
      <c r="B141" s="257" t="s">
        <v>208</v>
      </c>
      <c r="C141" s="246" t="s">
        <v>75</v>
      </c>
      <c r="D141" s="246" t="s">
        <v>120</v>
      </c>
      <c r="E141" s="151">
        <v>2021</v>
      </c>
      <c r="F141" s="172">
        <f t="shared" si="6"/>
        <v>10521000</v>
      </c>
      <c r="G141" s="118"/>
      <c r="H141" s="118"/>
      <c r="I141" s="172">
        <v>0</v>
      </c>
      <c r="J141" s="172">
        <f>8615700+1967400-62100</f>
        <v>10521000</v>
      </c>
      <c r="K141" s="172">
        <v>0</v>
      </c>
      <c r="L141" s="258" t="s">
        <v>150</v>
      </c>
      <c r="M141" s="259" t="s">
        <v>40</v>
      </c>
      <c r="N141" s="184"/>
      <c r="O141" s="184"/>
      <c r="P141" s="173">
        <v>782</v>
      </c>
      <c r="Q141" s="252" t="s">
        <v>132</v>
      </c>
    </row>
    <row r="142" spans="1:17" ht="26.25" customHeight="1">
      <c r="A142" s="247"/>
      <c r="B142" s="257"/>
      <c r="C142" s="256"/>
      <c r="D142" s="256"/>
      <c r="E142" s="151">
        <v>2022</v>
      </c>
      <c r="F142" s="172">
        <f t="shared" si="6"/>
        <v>10925700</v>
      </c>
      <c r="G142" s="118"/>
      <c r="H142" s="118"/>
      <c r="I142" s="172">
        <v>0</v>
      </c>
      <c r="J142" s="172">
        <v>10925700</v>
      </c>
      <c r="K142" s="172">
        <v>0</v>
      </c>
      <c r="L142" s="258"/>
      <c r="M142" s="259"/>
      <c r="N142" s="184"/>
      <c r="O142" s="184"/>
      <c r="P142" s="173">
        <v>771</v>
      </c>
      <c r="Q142" s="252"/>
    </row>
    <row r="143" spans="1:17" ht="27.75" customHeight="1">
      <c r="A143" s="247"/>
      <c r="B143" s="257"/>
      <c r="C143" s="256"/>
      <c r="D143" s="256"/>
      <c r="E143" s="151">
        <v>2023</v>
      </c>
      <c r="F143" s="172">
        <f t="shared" si="6"/>
        <v>11330300</v>
      </c>
      <c r="G143" s="172">
        <v>10182900</v>
      </c>
      <c r="H143" s="172">
        <v>11490700</v>
      </c>
      <c r="I143" s="172">
        <v>0</v>
      </c>
      <c r="J143" s="172">
        <v>11330300</v>
      </c>
      <c r="K143" s="172">
        <v>0</v>
      </c>
      <c r="L143" s="258"/>
      <c r="M143" s="259"/>
      <c r="N143" s="253">
        <v>100</v>
      </c>
      <c r="O143" s="253">
        <v>100</v>
      </c>
      <c r="P143" s="173">
        <v>771</v>
      </c>
      <c r="Q143" s="252"/>
    </row>
    <row r="144" spans="1:17" ht="31.5" customHeight="1">
      <c r="A144" s="236"/>
      <c r="B144" s="254"/>
      <c r="C144" s="256"/>
      <c r="D144" s="256"/>
      <c r="E144" s="151">
        <v>2024</v>
      </c>
      <c r="F144" s="172">
        <f t="shared" si="6"/>
        <v>11802400</v>
      </c>
      <c r="G144" s="172">
        <v>2312753</v>
      </c>
      <c r="H144" s="172">
        <v>2497880</v>
      </c>
      <c r="I144" s="172">
        <v>0</v>
      </c>
      <c r="J144" s="172">
        <v>11802400</v>
      </c>
      <c r="K144" s="172">
        <v>0</v>
      </c>
      <c r="L144" s="258"/>
      <c r="M144" s="259"/>
      <c r="N144" s="253"/>
      <c r="O144" s="253"/>
      <c r="P144" s="173">
        <v>771</v>
      </c>
      <c r="Q144" s="252"/>
    </row>
    <row r="145" spans="1:18" ht="54.75" customHeight="1">
      <c r="A145" s="236" t="s">
        <v>108</v>
      </c>
      <c r="B145" s="254" t="s">
        <v>211</v>
      </c>
      <c r="C145" s="246" t="s">
        <v>75</v>
      </c>
      <c r="D145" s="246" t="s">
        <v>120</v>
      </c>
      <c r="E145" s="151">
        <v>2021</v>
      </c>
      <c r="F145" s="172">
        <f t="shared" si="6"/>
        <v>4616836.74</v>
      </c>
      <c r="G145" s="172"/>
      <c r="H145" s="172"/>
      <c r="I145" s="172">
        <f>60859.18+31477.56</f>
        <v>92336.74</v>
      </c>
      <c r="J145" s="172">
        <f>2982100+1542400</f>
        <v>4524500</v>
      </c>
      <c r="K145" s="172">
        <v>0</v>
      </c>
      <c r="L145" s="212" t="s">
        <v>147</v>
      </c>
      <c r="M145" s="215" t="s">
        <v>36</v>
      </c>
      <c r="N145" s="183"/>
      <c r="O145" s="183"/>
      <c r="P145" s="173">
        <v>100</v>
      </c>
      <c r="Q145" s="252" t="s">
        <v>135</v>
      </c>
      <c r="R145" s="245"/>
    </row>
    <row r="146" spans="1:19" ht="54.75" customHeight="1">
      <c r="A146" s="237"/>
      <c r="B146" s="255"/>
      <c r="C146" s="256"/>
      <c r="D146" s="256"/>
      <c r="E146" s="151">
        <v>2022</v>
      </c>
      <c r="F146" s="172">
        <f aca="true" t="shared" si="8" ref="F146:F168">I146+J146+K146</f>
        <v>5160816.33</v>
      </c>
      <c r="G146" s="194"/>
      <c r="H146" s="194"/>
      <c r="I146" s="194">
        <v>103216.33</v>
      </c>
      <c r="J146" s="194">
        <v>5057600</v>
      </c>
      <c r="K146" s="194">
        <v>0</v>
      </c>
      <c r="L146" s="248"/>
      <c r="M146" s="250"/>
      <c r="N146" s="183"/>
      <c r="O146" s="183"/>
      <c r="P146" s="173">
        <v>100</v>
      </c>
      <c r="Q146" s="252"/>
      <c r="R146" s="245"/>
      <c r="S146" t="s">
        <v>146</v>
      </c>
    </row>
    <row r="147" spans="1:18" ht="54" customHeight="1">
      <c r="A147" s="237"/>
      <c r="B147" s="255"/>
      <c r="C147" s="256"/>
      <c r="D147" s="256"/>
      <c r="E147" s="151">
        <v>2023</v>
      </c>
      <c r="F147" s="172">
        <f t="shared" si="8"/>
        <v>5644387.76</v>
      </c>
      <c r="G147" s="194"/>
      <c r="H147" s="194"/>
      <c r="I147" s="194">
        <v>112887.76</v>
      </c>
      <c r="J147" s="194">
        <v>5531500</v>
      </c>
      <c r="K147" s="194">
        <v>0</v>
      </c>
      <c r="L147" s="248"/>
      <c r="M147" s="250"/>
      <c r="N147" s="183"/>
      <c r="O147" s="183"/>
      <c r="P147" s="173">
        <v>100</v>
      </c>
      <c r="Q147" s="252"/>
      <c r="R147" s="245"/>
    </row>
    <row r="148" spans="1:18" ht="45" customHeight="1">
      <c r="A148" s="207"/>
      <c r="B148" s="214"/>
      <c r="C148" s="207"/>
      <c r="D148" s="207"/>
      <c r="E148" s="151">
        <v>2024</v>
      </c>
      <c r="F148" s="172">
        <f t="shared" si="8"/>
        <v>5939897.96</v>
      </c>
      <c r="G148" s="194"/>
      <c r="H148" s="194"/>
      <c r="I148" s="194">
        <v>118797.96</v>
      </c>
      <c r="J148" s="194">
        <v>5821100</v>
      </c>
      <c r="K148" s="194">
        <v>0</v>
      </c>
      <c r="L148" s="214"/>
      <c r="M148" s="207"/>
      <c r="N148" s="183"/>
      <c r="O148" s="183"/>
      <c r="P148" s="173">
        <v>100</v>
      </c>
      <c r="Q148" s="231"/>
      <c r="R148" s="245"/>
    </row>
    <row r="149" spans="1:22" ht="30" customHeight="1">
      <c r="A149" s="236" t="s">
        <v>63</v>
      </c>
      <c r="B149" s="254" t="s">
        <v>209</v>
      </c>
      <c r="C149" s="246" t="s">
        <v>75</v>
      </c>
      <c r="D149" s="246" t="s">
        <v>120</v>
      </c>
      <c r="E149" s="151">
        <v>2021</v>
      </c>
      <c r="F149" s="195">
        <f t="shared" si="8"/>
        <v>17210389.8</v>
      </c>
      <c r="G149" s="195"/>
      <c r="H149" s="195"/>
      <c r="I149" s="195">
        <f>385551.86-41344.06</f>
        <v>344207.8</v>
      </c>
      <c r="J149" s="195">
        <f>18892041-2025859</f>
        <v>16866182</v>
      </c>
      <c r="K149" s="195">
        <v>0</v>
      </c>
      <c r="L149" s="212" t="s">
        <v>160</v>
      </c>
      <c r="M149" s="215" t="s">
        <v>36</v>
      </c>
      <c r="N149" s="183"/>
      <c r="O149" s="183"/>
      <c r="P149" s="173">
        <v>100</v>
      </c>
      <c r="Q149" s="240" t="s">
        <v>131</v>
      </c>
      <c r="R149" s="242" t="s">
        <v>148</v>
      </c>
      <c r="S149" s="241"/>
      <c r="T149" s="241"/>
      <c r="U149" s="241"/>
      <c r="V149" s="241"/>
    </row>
    <row r="150" spans="1:22" ht="30" customHeight="1">
      <c r="A150" s="206"/>
      <c r="B150" s="213"/>
      <c r="C150" s="206"/>
      <c r="D150" s="206"/>
      <c r="E150" s="151">
        <v>2022</v>
      </c>
      <c r="F150" s="195">
        <f t="shared" si="8"/>
        <v>19817753.07</v>
      </c>
      <c r="G150" s="195"/>
      <c r="H150" s="195"/>
      <c r="I150" s="195">
        <v>396355.07</v>
      </c>
      <c r="J150" s="195">
        <v>19421398</v>
      </c>
      <c r="K150" s="195">
        <v>0</v>
      </c>
      <c r="L150" s="213"/>
      <c r="M150" s="206"/>
      <c r="N150" s="183"/>
      <c r="O150" s="183"/>
      <c r="P150" s="173">
        <v>100</v>
      </c>
      <c r="Q150" s="241"/>
      <c r="R150" s="241"/>
      <c r="S150" s="241"/>
      <c r="T150" s="241"/>
      <c r="U150" s="241"/>
      <c r="V150" s="241"/>
    </row>
    <row r="151" spans="1:22" ht="30" customHeight="1">
      <c r="A151" s="206"/>
      <c r="B151" s="213"/>
      <c r="C151" s="206"/>
      <c r="D151" s="206"/>
      <c r="E151" s="151">
        <v>2023</v>
      </c>
      <c r="F151" s="195">
        <f t="shared" si="8"/>
        <v>19480682.66</v>
      </c>
      <c r="G151" s="195"/>
      <c r="H151" s="195"/>
      <c r="I151" s="195">
        <v>389613.66</v>
      </c>
      <c r="J151" s="195">
        <v>19091069</v>
      </c>
      <c r="K151" s="195">
        <v>0</v>
      </c>
      <c r="L151" s="213"/>
      <c r="M151" s="206"/>
      <c r="N151" s="183"/>
      <c r="O151" s="183"/>
      <c r="P151" s="173">
        <v>100</v>
      </c>
      <c r="Q151" s="241"/>
      <c r="R151" s="241"/>
      <c r="S151" s="241"/>
      <c r="T151" s="241"/>
      <c r="U151" s="241"/>
      <c r="V151" s="241"/>
    </row>
    <row r="152" spans="1:22" ht="28.5" customHeight="1">
      <c r="A152" s="207"/>
      <c r="B152" s="214"/>
      <c r="C152" s="207"/>
      <c r="D152" s="207"/>
      <c r="E152" s="151">
        <v>2024</v>
      </c>
      <c r="F152" s="195">
        <f t="shared" si="8"/>
        <v>20071152.05</v>
      </c>
      <c r="G152" s="195"/>
      <c r="H152" s="195"/>
      <c r="I152" s="195">
        <v>401423.05</v>
      </c>
      <c r="J152" s="195">
        <v>19669729</v>
      </c>
      <c r="K152" s="195">
        <v>0</v>
      </c>
      <c r="L152" s="214"/>
      <c r="M152" s="207"/>
      <c r="N152" s="183"/>
      <c r="O152" s="183"/>
      <c r="P152" s="173">
        <v>100</v>
      </c>
      <c r="Q152" s="241"/>
      <c r="R152" s="241"/>
      <c r="S152" s="241"/>
      <c r="T152" s="241"/>
      <c r="U152" s="241"/>
      <c r="V152" s="241"/>
    </row>
    <row r="153" spans="1:17" ht="24.75" customHeight="1">
      <c r="A153" s="205" t="s">
        <v>64</v>
      </c>
      <c r="B153" s="208" t="s">
        <v>62</v>
      </c>
      <c r="C153" s="216" t="s">
        <v>76</v>
      </c>
      <c r="D153" s="216" t="s">
        <v>120</v>
      </c>
      <c r="E153" s="151">
        <v>2021</v>
      </c>
      <c r="F153" s="172">
        <f t="shared" si="8"/>
        <v>17313163.09</v>
      </c>
      <c r="G153" s="172"/>
      <c r="H153" s="172"/>
      <c r="I153" s="172">
        <f>16753101.29+560061.8</f>
        <v>17313163.09</v>
      </c>
      <c r="J153" s="172">
        <v>0</v>
      </c>
      <c r="K153" s="172">
        <v>0</v>
      </c>
      <c r="L153" s="212" t="s">
        <v>161</v>
      </c>
      <c r="M153" s="215" t="s">
        <v>123</v>
      </c>
      <c r="N153" s="183"/>
      <c r="O153" s="183"/>
      <c r="P153" s="173">
        <v>6</v>
      </c>
      <c r="Q153" s="243" t="s">
        <v>145</v>
      </c>
    </row>
    <row r="154" spans="1:17" ht="30.75" customHeight="1">
      <c r="A154" s="223"/>
      <c r="B154" s="225"/>
      <c r="C154" s="238"/>
      <c r="D154" s="238"/>
      <c r="E154" s="151">
        <v>2022</v>
      </c>
      <c r="F154" s="172">
        <f t="shared" si="8"/>
        <v>25170110.4</v>
      </c>
      <c r="G154" s="172"/>
      <c r="H154" s="172"/>
      <c r="I154" s="172">
        <v>25170110.4</v>
      </c>
      <c r="J154" s="172">
        <v>0</v>
      </c>
      <c r="K154" s="172">
        <v>0</v>
      </c>
      <c r="L154" s="248"/>
      <c r="M154" s="250"/>
      <c r="N154" s="127"/>
      <c r="O154" s="127"/>
      <c r="P154" s="173">
        <v>6</v>
      </c>
      <c r="Q154" s="231"/>
    </row>
    <row r="155" spans="1:17" ht="30.75" customHeight="1">
      <c r="A155" s="223"/>
      <c r="B155" s="225"/>
      <c r="C155" s="238"/>
      <c r="D155" s="238"/>
      <c r="E155" s="151">
        <v>2023</v>
      </c>
      <c r="F155" s="172">
        <f t="shared" si="8"/>
        <v>25170110.4</v>
      </c>
      <c r="G155" s="172"/>
      <c r="H155" s="172"/>
      <c r="I155" s="172">
        <v>25170110.4</v>
      </c>
      <c r="J155" s="172">
        <v>0</v>
      </c>
      <c r="K155" s="172">
        <v>0</v>
      </c>
      <c r="L155" s="248"/>
      <c r="M155" s="250"/>
      <c r="N155" s="127"/>
      <c r="O155" s="127"/>
      <c r="P155" s="173">
        <v>6</v>
      </c>
      <c r="Q155" s="231"/>
    </row>
    <row r="156" spans="1:19" ht="26.25" customHeight="1">
      <c r="A156" s="227"/>
      <c r="B156" s="226"/>
      <c r="C156" s="239"/>
      <c r="D156" s="239"/>
      <c r="E156" s="151">
        <v>2024</v>
      </c>
      <c r="F156" s="172">
        <f t="shared" si="8"/>
        <v>25170110.4</v>
      </c>
      <c r="G156" s="172"/>
      <c r="H156" s="172"/>
      <c r="I156" s="172">
        <v>25170110.4</v>
      </c>
      <c r="J156" s="172">
        <v>0</v>
      </c>
      <c r="K156" s="172">
        <v>0</v>
      </c>
      <c r="L156" s="249"/>
      <c r="M156" s="251"/>
      <c r="N156" s="127"/>
      <c r="O156" s="127"/>
      <c r="P156" s="173">
        <v>6</v>
      </c>
      <c r="Q156" s="231"/>
      <c r="S156" s="244" t="s">
        <v>210</v>
      </c>
    </row>
    <row r="157" spans="1:19" ht="26.25" customHeight="1">
      <c r="A157" s="205" t="s">
        <v>144</v>
      </c>
      <c r="B157" s="208" t="s">
        <v>158</v>
      </c>
      <c r="C157" s="216" t="s">
        <v>76</v>
      </c>
      <c r="D157" s="216" t="s">
        <v>120</v>
      </c>
      <c r="E157" s="151">
        <v>2021</v>
      </c>
      <c r="F157" s="172">
        <f t="shared" si="8"/>
        <v>414099.28</v>
      </c>
      <c r="G157" s="172"/>
      <c r="H157" s="172"/>
      <c r="I157" s="172">
        <v>414099.28</v>
      </c>
      <c r="J157" s="172">
        <v>0</v>
      </c>
      <c r="K157" s="172">
        <v>0</v>
      </c>
      <c r="L157" s="212" t="s">
        <v>157</v>
      </c>
      <c r="M157" s="215" t="s">
        <v>36</v>
      </c>
      <c r="N157" s="127"/>
      <c r="O157" s="127"/>
      <c r="P157" s="173">
        <v>100</v>
      </c>
      <c r="Q157" s="231" t="s">
        <v>130</v>
      </c>
      <c r="S157" s="245"/>
    </row>
    <row r="158" spans="1:19" ht="26.25" customHeight="1">
      <c r="A158" s="206"/>
      <c r="B158" s="213"/>
      <c r="C158" s="238"/>
      <c r="D158" s="238"/>
      <c r="E158" s="151">
        <v>2022</v>
      </c>
      <c r="F158" s="172">
        <f t="shared" si="8"/>
        <v>0</v>
      </c>
      <c r="G158" s="172"/>
      <c r="H158" s="172"/>
      <c r="I158" s="172">
        <v>0</v>
      </c>
      <c r="J158" s="172">
        <v>0</v>
      </c>
      <c r="K158" s="172">
        <v>0</v>
      </c>
      <c r="L158" s="213"/>
      <c r="M158" s="206"/>
      <c r="N158" s="127"/>
      <c r="O158" s="127"/>
      <c r="P158" s="173">
        <v>0</v>
      </c>
      <c r="Q158" s="231"/>
      <c r="S158" s="245"/>
    </row>
    <row r="159" spans="1:19" ht="26.25" customHeight="1">
      <c r="A159" s="206"/>
      <c r="B159" s="213"/>
      <c r="C159" s="238"/>
      <c r="D159" s="238"/>
      <c r="E159" s="151">
        <v>2023</v>
      </c>
      <c r="F159" s="172">
        <f t="shared" si="8"/>
        <v>0</v>
      </c>
      <c r="G159" s="172"/>
      <c r="H159" s="172"/>
      <c r="I159" s="172">
        <v>0</v>
      </c>
      <c r="J159" s="172">
        <v>0</v>
      </c>
      <c r="K159" s="172">
        <v>0</v>
      </c>
      <c r="L159" s="213"/>
      <c r="M159" s="206"/>
      <c r="N159" s="127"/>
      <c r="O159" s="127"/>
      <c r="P159" s="173">
        <v>0</v>
      </c>
      <c r="Q159" s="231"/>
      <c r="S159" s="245"/>
    </row>
    <row r="160" spans="1:17" ht="26.25" customHeight="1">
      <c r="A160" s="207"/>
      <c r="B160" s="214"/>
      <c r="C160" s="239"/>
      <c r="D160" s="239"/>
      <c r="E160" s="151">
        <v>2024</v>
      </c>
      <c r="F160" s="172">
        <f t="shared" si="8"/>
        <v>0</v>
      </c>
      <c r="G160" s="172"/>
      <c r="H160" s="172"/>
      <c r="I160" s="172">
        <v>0</v>
      </c>
      <c r="J160" s="172">
        <v>0</v>
      </c>
      <c r="K160" s="172">
        <v>0</v>
      </c>
      <c r="L160" s="214"/>
      <c r="M160" s="207"/>
      <c r="N160" s="127"/>
      <c r="O160" s="127"/>
      <c r="P160" s="173">
        <v>0</v>
      </c>
      <c r="Q160" s="231"/>
    </row>
    <row r="161" spans="1:17" ht="26.25" customHeight="1">
      <c r="A161" s="205" t="s">
        <v>207</v>
      </c>
      <c r="B161" s="208" t="s">
        <v>166</v>
      </c>
      <c r="C161" s="216" t="s">
        <v>76</v>
      </c>
      <c r="D161" s="216" t="s">
        <v>120</v>
      </c>
      <c r="E161" s="151">
        <v>2021</v>
      </c>
      <c r="F161" s="172">
        <f t="shared" si="8"/>
        <v>309701.46</v>
      </c>
      <c r="G161" s="172"/>
      <c r="H161" s="172"/>
      <c r="I161" s="172">
        <f>190000+119701.46</f>
        <v>309701.46</v>
      </c>
      <c r="J161" s="172">
        <v>0</v>
      </c>
      <c r="K161" s="172">
        <v>0</v>
      </c>
      <c r="L161" s="212" t="s">
        <v>206</v>
      </c>
      <c r="M161" s="215" t="s">
        <v>36</v>
      </c>
      <c r="N161" s="127"/>
      <c r="O161" s="127"/>
      <c r="P161" s="173">
        <v>100</v>
      </c>
      <c r="Q161" s="185"/>
    </row>
    <row r="162" spans="1:17" ht="26.25" customHeight="1">
      <c r="A162" s="206"/>
      <c r="B162" s="213"/>
      <c r="C162" s="238"/>
      <c r="D162" s="238"/>
      <c r="E162" s="151">
        <v>2022</v>
      </c>
      <c r="F162" s="172">
        <f t="shared" si="8"/>
        <v>0</v>
      </c>
      <c r="G162" s="172"/>
      <c r="H162" s="172"/>
      <c r="I162" s="172">
        <v>0</v>
      </c>
      <c r="J162" s="172">
        <v>0</v>
      </c>
      <c r="K162" s="172">
        <v>0</v>
      </c>
      <c r="L162" s="213"/>
      <c r="M162" s="206"/>
      <c r="N162" s="127"/>
      <c r="O162" s="127"/>
      <c r="P162" s="173">
        <v>0</v>
      </c>
      <c r="Q162" s="185"/>
    </row>
    <row r="163" spans="1:17" ht="26.25" customHeight="1">
      <c r="A163" s="206"/>
      <c r="B163" s="213"/>
      <c r="C163" s="238"/>
      <c r="D163" s="238"/>
      <c r="E163" s="151">
        <v>2023</v>
      </c>
      <c r="F163" s="172">
        <f t="shared" si="8"/>
        <v>0</v>
      </c>
      <c r="G163" s="172"/>
      <c r="H163" s="172"/>
      <c r="I163" s="172">
        <v>0</v>
      </c>
      <c r="J163" s="172">
        <v>0</v>
      </c>
      <c r="K163" s="172">
        <v>0</v>
      </c>
      <c r="L163" s="213"/>
      <c r="M163" s="206"/>
      <c r="N163" s="127"/>
      <c r="O163" s="127"/>
      <c r="P163" s="173">
        <v>0</v>
      </c>
      <c r="Q163" s="185">
        <v>13060</v>
      </c>
    </row>
    <row r="164" spans="1:17" ht="26.25" customHeight="1">
      <c r="A164" s="207"/>
      <c r="B164" s="214"/>
      <c r="C164" s="239"/>
      <c r="D164" s="239"/>
      <c r="E164" s="151">
        <v>2024</v>
      </c>
      <c r="F164" s="172">
        <f t="shared" si="8"/>
        <v>0</v>
      </c>
      <c r="G164" s="172"/>
      <c r="H164" s="172"/>
      <c r="I164" s="172">
        <v>0</v>
      </c>
      <c r="J164" s="172">
        <v>0</v>
      </c>
      <c r="K164" s="172">
        <v>0</v>
      </c>
      <c r="L164" s="214"/>
      <c r="M164" s="207"/>
      <c r="N164" s="127"/>
      <c r="O164" s="127"/>
      <c r="P164" s="173">
        <v>0</v>
      </c>
      <c r="Q164" s="185"/>
    </row>
    <row r="165" spans="1:16" ht="15">
      <c r="A165" s="232"/>
      <c r="B165" s="234" t="s">
        <v>41</v>
      </c>
      <c r="C165" s="232"/>
      <c r="D165" s="232"/>
      <c r="E165" s="150">
        <v>2021</v>
      </c>
      <c r="F165" s="118">
        <f t="shared" si="8"/>
        <v>937383986.71</v>
      </c>
      <c r="G165" s="118" t="e">
        <f>SUM(G166:G167)</f>
        <v>#REF!</v>
      </c>
      <c r="H165" s="118" t="e">
        <f>SUM(H166:H167)</f>
        <v>#REF!</v>
      </c>
      <c r="I165" s="118">
        <f aca="true" t="shared" si="9" ref="I165:K168">I17+I65+I105+I129+I137</f>
        <v>250785543.71</v>
      </c>
      <c r="J165" s="118">
        <f t="shared" si="9"/>
        <v>686598443</v>
      </c>
      <c r="K165" s="118">
        <f t="shared" si="9"/>
        <v>0</v>
      </c>
      <c r="L165" s="235"/>
      <c r="M165" s="235"/>
      <c r="N165" s="235"/>
      <c r="O165" s="235"/>
      <c r="P165" s="235"/>
    </row>
    <row r="166" spans="1:16" ht="15">
      <c r="A166" s="232"/>
      <c r="B166" s="234"/>
      <c r="C166" s="232"/>
      <c r="D166" s="232"/>
      <c r="E166" s="150">
        <v>2022</v>
      </c>
      <c r="F166" s="118">
        <f t="shared" si="8"/>
        <v>959412245.46</v>
      </c>
      <c r="G166" s="118" t="e">
        <f>G18+G66+#REF!+#REF!</f>
        <v>#REF!</v>
      </c>
      <c r="H166" s="118" t="e">
        <f>H18+H66+#REF!+#REF!</f>
        <v>#REF!</v>
      </c>
      <c r="I166" s="118">
        <f t="shared" si="9"/>
        <v>283707003.46</v>
      </c>
      <c r="J166" s="118">
        <f t="shared" si="9"/>
        <v>675705242</v>
      </c>
      <c r="K166" s="118">
        <f t="shared" si="9"/>
        <v>0</v>
      </c>
      <c r="L166" s="235"/>
      <c r="M166" s="235"/>
      <c r="N166" s="235"/>
      <c r="O166" s="235"/>
      <c r="P166" s="235"/>
    </row>
    <row r="167" spans="1:16" ht="15">
      <c r="A167" s="232"/>
      <c r="B167" s="234"/>
      <c r="C167" s="232"/>
      <c r="D167" s="232"/>
      <c r="E167" s="150">
        <v>2023</v>
      </c>
      <c r="F167" s="118">
        <f t="shared" si="8"/>
        <v>972320438.12</v>
      </c>
      <c r="G167" s="118" t="e">
        <f>G20+G68+#REF!+#REF!</f>
        <v>#REF!</v>
      </c>
      <c r="H167" s="118" t="e">
        <f>H20+H68+#REF!+#REF!</f>
        <v>#REF!</v>
      </c>
      <c r="I167" s="118">
        <f t="shared" si="9"/>
        <v>285523325.12</v>
      </c>
      <c r="J167" s="118">
        <f t="shared" si="9"/>
        <v>686797113</v>
      </c>
      <c r="K167" s="118">
        <f t="shared" si="9"/>
        <v>0</v>
      </c>
      <c r="L167" s="235"/>
      <c r="M167" s="235"/>
      <c r="N167" s="235"/>
      <c r="O167" s="235"/>
      <c r="P167" s="235"/>
    </row>
    <row r="168" spans="1:16" ht="15">
      <c r="A168" s="233"/>
      <c r="B168" s="233"/>
      <c r="C168" s="233"/>
      <c r="D168" s="233"/>
      <c r="E168" s="150">
        <v>2024</v>
      </c>
      <c r="F168" s="118">
        <f t="shared" si="8"/>
        <v>996234182.95</v>
      </c>
      <c r="G168" s="118" t="e">
        <f>G21+G73+#REF!+#REF!</f>
        <v>#REF!</v>
      </c>
      <c r="H168" s="118" t="e">
        <f>H21+H73+#REF!+#REF!</f>
        <v>#REF!</v>
      </c>
      <c r="I168" s="118">
        <f t="shared" si="9"/>
        <v>291439009.95</v>
      </c>
      <c r="J168" s="118">
        <f t="shared" si="9"/>
        <v>704795173</v>
      </c>
      <c r="K168" s="118">
        <f t="shared" si="9"/>
        <v>0</v>
      </c>
      <c r="L168" s="233"/>
      <c r="M168" s="233"/>
      <c r="N168" s="233"/>
      <c r="O168" s="233"/>
      <c r="P168" s="233"/>
    </row>
    <row r="169" spans="1:16" ht="1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</row>
    <row r="170" spans="1:16" ht="1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</row>
    <row r="171" spans="1:16" ht="15">
      <c r="A171" s="55"/>
      <c r="B171" s="55"/>
      <c r="C171" s="55"/>
      <c r="D171" s="55"/>
      <c r="E171" s="56"/>
      <c r="F171" s="335"/>
      <c r="G171" s="335"/>
      <c r="H171" s="335"/>
      <c r="I171" s="335"/>
      <c r="J171" s="335"/>
      <c r="K171" s="335"/>
      <c r="L171" s="55"/>
      <c r="M171" s="55"/>
      <c r="N171" s="55"/>
      <c r="O171" s="55"/>
      <c r="P171" s="55"/>
    </row>
    <row r="172" spans="1:16" ht="15">
      <c r="A172" s="55"/>
      <c r="B172" s="55"/>
      <c r="C172" s="55"/>
      <c r="D172" s="55"/>
      <c r="E172" s="56"/>
      <c r="F172" s="56"/>
      <c r="G172" s="56"/>
      <c r="H172" s="56"/>
      <c r="I172" s="56"/>
      <c r="J172" s="56"/>
      <c r="K172" s="56"/>
      <c r="L172" s="55"/>
      <c r="M172" s="55"/>
      <c r="N172" s="55"/>
      <c r="O172" s="55"/>
      <c r="P172" s="55"/>
    </row>
    <row r="173" spans="1:16" ht="15">
      <c r="A173" s="55"/>
      <c r="B173" s="55"/>
      <c r="C173" s="55"/>
      <c r="D173" s="55"/>
      <c r="E173" s="57"/>
      <c r="F173" s="230" t="s">
        <v>89</v>
      </c>
      <c r="G173" s="230"/>
      <c r="H173" s="230"/>
      <c r="I173" s="230"/>
      <c r="J173" s="230"/>
      <c r="K173" s="230"/>
      <c r="L173" s="55"/>
      <c r="M173" s="55"/>
      <c r="N173" s="55"/>
      <c r="O173" s="55"/>
      <c r="P173" s="55"/>
    </row>
    <row r="174" spans="1:16" ht="1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</row>
  </sheetData>
  <sheetProtection/>
  <mergeCells count="276">
    <mergeCell ref="M125:M128"/>
    <mergeCell ref="B57:B60"/>
    <mergeCell ref="C57:C60"/>
    <mergeCell ref="D57:D60"/>
    <mergeCell ref="L57:L60"/>
    <mergeCell ref="M57:M60"/>
    <mergeCell ref="C109:C112"/>
    <mergeCell ref="D109:D112"/>
    <mergeCell ref="L109:L112"/>
    <mergeCell ref="M109:M112"/>
    <mergeCell ref="A125:A128"/>
    <mergeCell ref="B125:B128"/>
    <mergeCell ref="C125:C128"/>
    <mergeCell ref="D125:D128"/>
    <mergeCell ref="L125:L128"/>
    <mergeCell ref="L165:P168"/>
    <mergeCell ref="B161:B164"/>
    <mergeCell ref="C161:C164"/>
    <mergeCell ref="D161:D164"/>
    <mergeCell ref="L161:L164"/>
    <mergeCell ref="F171:K171"/>
    <mergeCell ref="A157:A160"/>
    <mergeCell ref="B157:B160"/>
    <mergeCell ref="C157:C160"/>
    <mergeCell ref="F173:K173"/>
    <mergeCell ref="A165:A168"/>
    <mergeCell ref="B165:B168"/>
    <mergeCell ref="C165:C168"/>
    <mergeCell ref="D165:D168"/>
    <mergeCell ref="A161:A164"/>
    <mergeCell ref="M161:M164"/>
    <mergeCell ref="L157:L160"/>
    <mergeCell ref="M157:M160"/>
    <mergeCell ref="Q149:Q152"/>
    <mergeCell ref="R149:V152"/>
    <mergeCell ref="A153:A156"/>
    <mergeCell ref="B153:B156"/>
    <mergeCell ref="C153:C156"/>
    <mergeCell ref="D153:D156"/>
    <mergeCell ref="L153:L156"/>
    <mergeCell ref="Q157:Q160"/>
    <mergeCell ref="M153:M156"/>
    <mergeCell ref="Q153:Q156"/>
    <mergeCell ref="S156:S159"/>
    <mergeCell ref="A149:A152"/>
    <mergeCell ref="B149:B152"/>
    <mergeCell ref="C149:C152"/>
    <mergeCell ref="D149:D152"/>
    <mergeCell ref="L149:L152"/>
    <mergeCell ref="M149:M152"/>
    <mergeCell ref="D157:D160"/>
    <mergeCell ref="Q141:Q144"/>
    <mergeCell ref="N143:N144"/>
    <mergeCell ref="O143:O144"/>
    <mergeCell ref="A145:A148"/>
    <mergeCell ref="B145:B148"/>
    <mergeCell ref="C145:C148"/>
    <mergeCell ref="D145:D148"/>
    <mergeCell ref="L145:L148"/>
    <mergeCell ref="M145:M148"/>
    <mergeCell ref="Q145:R148"/>
    <mergeCell ref="A141:A144"/>
    <mergeCell ref="B141:B144"/>
    <mergeCell ref="C141:C144"/>
    <mergeCell ref="D141:D144"/>
    <mergeCell ref="L141:L144"/>
    <mergeCell ref="M141:M144"/>
    <mergeCell ref="Q133:Q136"/>
    <mergeCell ref="A137:A140"/>
    <mergeCell ref="B137:B140"/>
    <mergeCell ref="C137:C140"/>
    <mergeCell ref="D137:D140"/>
    <mergeCell ref="L137:L140"/>
    <mergeCell ref="M137:M140"/>
    <mergeCell ref="A133:A136"/>
    <mergeCell ref="B133:B136"/>
    <mergeCell ref="C133:C136"/>
    <mergeCell ref="D133:D136"/>
    <mergeCell ref="L133:L136"/>
    <mergeCell ref="M133:M136"/>
    <mergeCell ref="A129:A132"/>
    <mergeCell ref="B129:B132"/>
    <mergeCell ref="C129:C132"/>
    <mergeCell ref="D129:D132"/>
    <mergeCell ref="L129:L132"/>
    <mergeCell ref="M129:M132"/>
    <mergeCell ref="A121:A124"/>
    <mergeCell ref="B121:B124"/>
    <mergeCell ref="C121:C124"/>
    <mergeCell ref="D121:D124"/>
    <mergeCell ref="L121:L124"/>
    <mergeCell ref="M121:M124"/>
    <mergeCell ref="A117:A120"/>
    <mergeCell ref="B117:B120"/>
    <mergeCell ref="C117:C120"/>
    <mergeCell ref="D117:D120"/>
    <mergeCell ref="L117:L120"/>
    <mergeCell ref="M117:M120"/>
    <mergeCell ref="Q109:Q112"/>
    <mergeCell ref="A113:A116"/>
    <mergeCell ref="B113:B116"/>
    <mergeCell ref="C113:C116"/>
    <mergeCell ref="D113:D116"/>
    <mergeCell ref="L113:L116"/>
    <mergeCell ref="M113:M116"/>
    <mergeCell ref="Q113:Q116"/>
    <mergeCell ref="A109:A112"/>
    <mergeCell ref="B109:B112"/>
    <mergeCell ref="A105:A108"/>
    <mergeCell ref="B105:B108"/>
    <mergeCell ref="C105:C108"/>
    <mergeCell ref="D105:D108"/>
    <mergeCell ref="L105:L108"/>
    <mergeCell ref="M105:M108"/>
    <mergeCell ref="A101:A104"/>
    <mergeCell ref="B101:B104"/>
    <mergeCell ref="C101:C104"/>
    <mergeCell ref="D101:D104"/>
    <mergeCell ref="L101:L104"/>
    <mergeCell ref="M101:M104"/>
    <mergeCell ref="A97:A100"/>
    <mergeCell ref="B97:B100"/>
    <mergeCell ref="C97:C100"/>
    <mergeCell ref="D97:D100"/>
    <mergeCell ref="L97:L100"/>
    <mergeCell ref="M97:M100"/>
    <mergeCell ref="A93:A96"/>
    <mergeCell ref="B93:B96"/>
    <mergeCell ref="C93:C96"/>
    <mergeCell ref="D93:D96"/>
    <mergeCell ref="L93:L96"/>
    <mergeCell ref="M93:M96"/>
    <mergeCell ref="A89:A92"/>
    <mergeCell ref="B89:B92"/>
    <mergeCell ref="C89:C92"/>
    <mergeCell ref="D89:D92"/>
    <mergeCell ref="L89:L92"/>
    <mergeCell ref="M89:M92"/>
    <mergeCell ref="Q81:Q84"/>
    <mergeCell ref="A85:A88"/>
    <mergeCell ref="B85:B88"/>
    <mergeCell ref="C85:C88"/>
    <mergeCell ref="D85:D88"/>
    <mergeCell ref="L85:L88"/>
    <mergeCell ref="M85:M88"/>
    <mergeCell ref="A81:A84"/>
    <mergeCell ref="B81:B84"/>
    <mergeCell ref="C81:C84"/>
    <mergeCell ref="D81:D84"/>
    <mergeCell ref="L81:L84"/>
    <mergeCell ref="M81:M84"/>
    <mergeCell ref="Q73:Q76"/>
    <mergeCell ref="A77:A80"/>
    <mergeCell ref="B77:B80"/>
    <mergeCell ref="C77:C80"/>
    <mergeCell ref="D77:D80"/>
    <mergeCell ref="L77:L80"/>
    <mergeCell ref="M77:M80"/>
    <mergeCell ref="Q77:Q80"/>
    <mergeCell ref="N69:N72"/>
    <mergeCell ref="O69:O72"/>
    <mergeCell ref="A73:A76"/>
    <mergeCell ref="B73:B76"/>
    <mergeCell ref="C73:C76"/>
    <mergeCell ref="D73:D76"/>
    <mergeCell ref="L73:L76"/>
    <mergeCell ref="M73:M76"/>
    <mergeCell ref="N73:N76"/>
    <mergeCell ref="O73:O76"/>
    <mergeCell ref="A69:A72"/>
    <mergeCell ref="B69:B72"/>
    <mergeCell ref="C69:C72"/>
    <mergeCell ref="D69:D72"/>
    <mergeCell ref="L69:L72"/>
    <mergeCell ref="M69:M72"/>
    <mergeCell ref="A65:A68"/>
    <mergeCell ref="B65:B68"/>
    <mergeCell ref="C65:C68"/>
    <mergeCell ref="D65:D68"/>
    <mergeCell ref="L65:L68"/>
    <mergeCell ref="M65:M68"/>
    <mergeCell ref="D53:D56"/>
    <mergeCell ref="L53:L56"/>
    <mergeCell ref="M53:M56"/>
    <mergeCell ref="A61:A64"/>
    <mergeCell ref="B61:B64"/>
    <mergeCell ref="C61:C64"/>
    <mergeCell ref="D61:D64"/>
    <mergeCell ref="L61:L64"/>
    <mergeCell ref="M61:M64"/>
    <mergeCell ref="A57:A60"/>
    <mergeCell ref="A45:A48"/>
    <mergeCell ref="B45:B48"/>
    <mergeCell ref="C45:C48"/>
    <mergeCell ref="A53:A56"/>
    <mergeCell ref="B53:B56"/>
    <mergeCell ref="C53:C56"/>
    <mergeCell ref="A49:A52"/>
    <mergeCell ref="B49:B52"/>
    <mergeCell ref="C49:C52"/>
    <mergeCell ref="D49:D52"/>
    <mergeCell ref="L49:L52"/>
    <mergeCell ref="M49:M52"/>
    <mergeCell ref="D45:D48"/>
    <mergeCell ref="L45:L48"/>
    <mergeCell ref="M45:M48"/>
    <mergeCell ref="N37:N40"/>
    <mergeCell ref="O37:O40"/>
    <mergeCell ref="Q37:Q40"/>
    <mergeCell ref="Q45:Q48"/>
    <mergeCell ref="A41:A44"/>
    <mergeCell ref="B41:B44"/>
    <mergeCell ref="C41:C44"/>
    <mergeCell ref="D41:D44"/>
    <mergeCell ref="L41:L44"/>
    <mergeCell ref="M41:M44"/>
    <mergeCell ref="A37:A40"/>
    <mergeCell ref="B37:B40"/>
    <mergeCell ref="C37:C40"/>
    <mergeCell ref="D37:D40"/>
    <mergeCell ref="L37:L40"/>
    <mergeCell ref="M37:M40"/>
    <mergeCell ref="Q29:Q32"/>
    <mergeCell ref="A33:A36"/>
    <mergeCell ref="B33:B36"/>
    <mergeCell ref="C33:C36"/>
    <mergeCell ref="D33:D36"/>
    <mergeCell ref="L33:L36"/>
    <mergeCell ref="M33:M36"/>
    <mergeCell ref="Q33:Q36"/>
    <mergeCell ref="A29:A32"/>
    <mergeCell ref="B29:B32"/>
    <mergeCell ref="C29:C32"/>
    <mergeCell ref="D29:D32"/>
    <mergeCell ref="L29:L32"/>
    <mergeCell ref="M29:M32"/>
    <mergeCell ref="N21:N24"/>
    <mergeCell ref="O21:O24"/>
    <mergeCell ref="N25:N28"/>
    <mergeCell ref="O25:O28"/>
    <mergeCell ref="A25:A28"/>
    <mergeCell ref="B25:B28"/>
    <mergeCell ref="C25:C28"/>
    <mergeCell ref="D25:D28"/>
    <mergeCell ref="L25:L28"/>
    <mergeCell ref="M25:M28"/>
    <mergeCell ref="A21:A24"/>
    <mergeCell ref="B21:B24"/>
    <mergeCell ref="C21:C24"/>
    <mergeCell ref="D21:D24"/>
    <mergeCell ref="L21:L24"/>
    <mergeCell ref="M21:M24"/>
    <mergeCell ref="A15:P15"/>
    <mergeCell ref="A16:P16"/>
    <mergeCell ref="A17:A20"/>
    <mergeCell ref="B17:B20"/>
    <mergeCell ref="C17:C20"/>
    <mergeCell ref="D17:D20"/>
    <mergeCell ref="L17:L20"/>
    <mergeCell ref="M17:M20"/>
    <mergeCell ref="A10:P10"/>
    <mergeCell ref="A11:A13"/>
    <mergeCell ref="B11:B13"/>
    <mergeCell ref="C11:C13"/>
    <mergeCell ref="D11:D13"/>
    <mergeCell ref="E11:E13"/>
    <mergeCell ref="F11:K12"/>
    <mergeCell ref="L11:L13"/>
    <mergeCell ref="M11:M13"/>
    <mergeCell ref="P11:P13"/>
    <mergeCell ref="M3:P3"/>
    <mergeCell ref="M4:P4"/>
    <mergeCell ref="M1:P1"/>
    <mergeCell ref="M2:P2"/>
    <mergeCell ref="M5:P5"/>
    <mergeCell ref="A8:P9"/>
  </mergeCells>
  <printOptions/>
  <pageMargins left="0.984251968503937" right="0.5905511811023623" top="0.5905511811023623" bottom="0.7086614173228347" header="0.31496062992125984" footer="0.5118110236220472"/>
  <pageSetup fitToHeight="2" horizontalDpi="600" verticalDpi="600" orientation="landscape" paperSize="9" scale="36" r:id="rId3"/>
  <headerFooter differentFirst="1">
    <oddHeader xml:space="preserve">&amp;C&amp;"Times New Roman,обычный"&amp;20 </oddHeader>
  </headerFooter>
  <rowBreaks count="3" manualBreakCount="3">
    <brk id="48" max="15" man="1"/>
    <brk id="88" max="15" man="1"/>
    <brk id="136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view="pageBreakPreview" zoomScale="80" zoomScaleNormal="56" zoomScaleSheetLayoutView="80" zoomScalePageLayoutView="60" workbookViewId="0" topLeftCell="A7">
      <selection activeCell="H19" sqref="H19"/>
    </sheetView>
  </sheetViews>
  <sheetFormatPr defaultColWidth="9.140625" defaultRowHeight="15"/>
  <cols>
    <col min="1" max="1" width="7.00390625" style="0" customWidth="1"/>
    <col min="2" max="2" width="55.57421875" style="0" customWidth="1"/>
    <col min="3" max="3" width="16.00390625" style="0" customWidth="1"/>
    <col min="4" max="4" width="13.7109375" style="0" customWidth="1"/>
    <col min="5" max="5" width="18.57421875" style="0" customWidth="1"/>
    <col min="6" max="7" width="0" style="0" hidden="1" customWidth="1"/>
    <col min="8" max="8" width="16.57421875" style="0" customWidth="1"/>
    <col min="9" max="9" width="19.00390625" style="0" customWidth="1"/>
    <col min="10" max="10" width="17.140625" style="0" customWidth="1"/>
    <col min="11" max="11" width="42.28125" style="0" customWidth="1"/>
    <col min="12" max="12" width="15.8515625" style="0" customWidth="1"/>
    <col min="13" max="14" width="0" style="0" hidden="1" customWidth="1"/>
    <col min="15" max="15" width="14.8515625" style="0" customWidth="1"/>
    <col min="16" max="16" width="15.421875" style="0" customWidth="1"/>
    <col min="17" max="17" width="17.7109375" style="0" customWidth="1"/>
    <col min="18" max="18" width="16.57421875" style="0" customWidth="1"/>
  </cols>
  <sheetData>
    <row r="1" spans="1:17" ht="34.5" customHeight="1">
      <c r="A1" s="6"/>
      <c r="B1" s="7"/>
      <c r="C1" s="8"/>
      <c r="D1" s="9"/>
      <c r="E1" s="10"/>
      <c r="F1" s="11"/>
      <c r="G1" s="11"/>
      <c r="H1" s="12"/>
      <c r="I1" s="12"/>
      <c r="J1" s="12"/>
      <c r="K1" s="435" t="s">
        <v>72</v>
      </c>
      <c r="L1" s="435"/>
      <c r="M1" s="435"/>
      <c r="N1" s="435"/>
      <c r="O1" s="435"/>
      <c r="P1" s="435"/>
      <c r="Q1" s="435"/>
    </row>
    <row r="2" spans="1:17" ht="23.25" customHeight="1">
      <c r="A2" s="6"/>
      <c r="B2" s="7"/>
      <c r="C2" s="8"/>
      <c r="D2" s="9"/>
      <c r="E2" s="10"/>
      <c r="F2" s="11"/>
      <c r="G2" s="11"/>
      <c r="H2" s="12"/>
      <c r="I2" s="12"/>
      <c r="J2" s="12"/>
      <c r="K2" s="436" t="s">
        <v>77</v>
      </c>
      <c r="L2" s="436"/>
      <c r="M2" s="436"/>
      <c r="N2" s="436"/>
      <c r="O2" s="436"/>
      <c r="P2" s="436"/>
      <c r="Q2" s="436"/>
    </row>
    <row r="3" spans="1:17" ht="23.25" customHeight="1">
      <c r="A3" s="6"/>
      <c r="B3" s="7"/>
      <c r="C3" s="8"/>
      <c r="D3" s="9"/>
      <c r="E3" s="10"/>
      <c r="F3" s="11"/>
      <c r="G3" s="11"/>
      <c r="H3" s="12"/>
      <c r="I3" s="12"/>
      <c r="J3" s="12"/>
      <c r="K3" s="436"/>
      <c r="L3" s="436"/>
      <c r="M3" s="436"/>
      <c r="N3" s="436"/>
      <c r="O3" s="436"/>
      <c r="P3" s="436"/>
      <c r="Q3" s="436"/>
    </row>
    <row r="4" spans="1:17" ht="23.25" customHeight="1">
      <c r="A4" s="6"/>
      <c r="B4" s="7"/>
      <c r="C4" s="8"/>
      <c r="D4" s="9"/>
      <c r="E4" s="10"/>
      <c r="F4" s="11"/>
      <c r="G4" s="11"/>
      <c r="H4" s="12"/>
      <c r="I4" s="12"/>
      <c r="J4" s="12"/>
      <c r="K4" s="436"/>
      <c r="L4" s="436"/>
      <c r="M4" s="436"/>
      <c r="N4" s="436"/>
      <c r="O4" s="436"/>
      <c r="P4" s="436"/>
      <c r="Q4" s="436"/>
    </row>
    <row r="5" spans="1:17" ht="54" customHeight="1">
      <c r="A5" s="13"/>
      <c r="B5" s="14"/>
      <c r="C5" s="15"/>
      <c r="D5" s="16"/>
      <c r="E5" s="10"/>
      <c r="F5" s="17"/>
      <c r="G5" s="17"/>
      <c r="H5" s="18"/>
      <c r="I5" s="18"/>
      <c r="J5" s="18"/>
      <c r="K5" s="436"/>
      <c r="L5" s="436"/>
      <c r="M5" s="436"/>
      <c r="N5" s="436"/>
      <c r="O5" s="436"/>
      <c r="P5" s="436"/>
      <c r="Q5" s="436"/>
    </row>
    <row r="6" spans="1:17" ht="15">
      <c r="A6" s="437" t="s">
        <v>54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</row>
    <row r="7" spans="1:17" ht="15">
      <c r="A7" s="438"/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</row>
    <row r="8" spans="1:17" ht="29.25">
      <c r="A8" s="439" t="s">
        <v>55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</row>
    <row r="9" spans="1:17" ht="15.75" customHeight="1">
      <c r="A9" s="336" t="s">
        <v>8</v>
      </c>
      <c r="B9" s="427" t="s">
        <v>28</v>
      </c>
      <c r="C9" s="336" t="s">
        <v>27</v>
      </c>
      <c r="D9" s="336" t="s">
        <v>20</v>
      </c>
      <c r="E9" s="441" t="s">
        <v>32</v>
      </c>
      <c r="F9" s="442"/>
      <c r="G9" s="442"/>
      <c r="H9" s="442"/>
      <c r="I9" s="442"/>
      <c r="J9" s="443"/>
      <c r="K9" s="444" t="s">
        <v>26</v>
      </c>
      <c r="L9" s="445"/>
      <c r="M9" s="445"/>
      <c r="N9" s="445"/>
      <c r="O9" s="445"/>
      <c r="P9" s="445"/>
      <c r="Q9" s="446"/>
    </row>
    <row r="10" spans="1:17" ht="15.75" customHeight="1">
      <c r="A10" s="381"/>
      <c r="B10" s="440"/>
      <c r="C10" s="381"/>
      <c r="D10" s="381"/>
      <c r="E10" s="427" t="s">
        <v>5</v>
      </c>
      <c r="F10" s="429" t="s">
        <v>31</v>
      </c>
      <c r="G10" s="430"/>
      <c r="H10" s="430"/>
      <c r="I10" s="430"/>
      <c r="J10" s="431"/>
      <c r="K10" s="447"/>
      <c r="L10" s="448"/>
      <c r="M10" s="448"/>
      <c r="N10" s="448"/>
      <c r="O10" s="448"/>
      <c r="P10" s="448"/>
      <c r="Q10" s="449"/>
    </row>
    <row r="11" spans="1:17" ht="15">
      <c r="A11" s="337"/>
      <c r="B11" s="428"/>
      <c r="C11" s="337"/>
      <c r="D11" s="337"/>
      <c r="E11" s="428"/>
      <c r="F11" s="20" t="s">
        <v>29</v>
      </c>
      <c r="G11" s="20" t="s">
        <v>30</v>
      </c>
      <c r="H11" s="21" t="s">
        <v>57</v>
      </c>
      <c r="I11" s="21" t="s">
        <v>58</v>
      </c>
      <c r="J11" s="21" t="s">
        <v>78</v>
      </c>
      <c r="K11" s="22" t="s">
        <v>21</v>
      </c>
      <c r="L11" s="22" t="s">
        <v>33</v>
      </c>
      <c r="M11" s="22">
        <v>2014</v>
      </c>
      <c r="N11" s="22">
        <v>2015</v>
      </c>
      <c r="O11" s="22">
        <v>2018</v>
      </c>
      <c r="P11" s="22">
        <v>2019</v>
      </c>
      <c r="Q11" s="22">
        <v>2020</v>
      </c>
    </row>
    <row r="12" spans="1:17" ht="15">
      <c r="A12" s="23" t="s">
        <v>15</v>
      </c>
      <c r="B12" s="23" t="s">
        <v>9</v>
      </c>
      <c r="C12" s="23" t="s">
        <v>10</v>
      </c>
      <c r="D12" s="23" t="s">
        <v>11</v>
      </c>
      <c r="E12" s="23" t="s">
        <v>16</v>
      </c>
      <c r="F12" s="23" t="s">
        <v>16</v>
      </c>
      <c r="G12" s="23" t="s">
        <v>17</v>
      </c>
      <c r="H12" s="24" t="s">
        <v>17</v>
      </c>
      <c r="I12" s="24" t="s">
        <v>18</v>
      </c>
      <c r="J12" s="24" t="s">
        <v>19</v>
      </c>
      <c r="K12" s="23" t="s">
        <v>22</v>
      </c>
      <c r="L12" s="23" t="s">
        <v>23</v>
      </c>
      <c r="M12" s="23" t="s">
        <v>23</v>
      </c>
      <c r="N12" s="23" t="s">
        <v>24</v>
      </c>
      <c r="O12" s="23" t="s">
        <v>24</v>
      </c>
      <c r="P12" s="23" t="s">
        <v>25</v>
      </c>
      <c r="Q12" s="23" t="s">
        <v>68</v>
      </c>
    </row>
    <row r="13" spans="1:17" ht="15.75">
      <c r="A13" s="432" t="s">
        <v>91</v>
      </c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4"/>
    </row>
    <row r="14" spans="1:17" ht="15.75" customHeight="1">
      <c r="A14" s="432" t="s">
        <v>92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4"/>
    </row>
    <row r="15" spans="1:17" ht="19.5" customHeight="1">
      <c r="A15" s="414" t="s">
        <v>0</v>
      </c>
      <c r="B15" s="353" t="s">
        <v>93</v>
      </c>
      <c r="C15" s="424" t="s">
        <v>94</v>
      </c>
      <c r="D15" s="25" t="s">
        <v>13</v>
      </c>
      <c r="E15" s="80">
        <f>H15+I15+J15</f>
        <v>115182018</v>
      </c>
      <c r="F15" s="80" t="e">
        <f>SUM(F16:F17)</f>
        <v>#REF!</v>
      </c>
      <c r="G15" s="80" t="e">
        <f>SUM(G16:G17)</f>
        <v>#REF!</v>
      </c>
      <c r="H15" s="80">
        <f>H17+H16</f>
        <v>38735490</v>
      </c>
      <c r="I15" s="102">
        <f>I16+I17</f>
        <v>38223264</v>
      </c>
      <c r="J15" s="63">
        <f>J16+J17</f>
        <v>38223264</v>
      </c>
      <c r="K15" s="417" t="s">
        <v>98</v>
      </c>
      <c r="L15" s="392" t="s">
        <v>99</v>
      </c>
      <c r="M15" s="26"/>
      <c r="N15" s="26"/>
      <c r="O15" s="403">
        <v>9137</v>
      </c>
      <c r="P15" s="403">
        <v>9137</v>
      </c>
      <c r="Q15" s="403">
        <v>9137</v>
      </c>
    </row>
    <row r="16" spans="1:17" ht="18" customHeight="1">
      <c r="A16" s="415"/>
      <c r="B16" s="354"/>
      <c r="C16" s="424"/>
      <c r="D16" s="25" t="s">
        <v>7</v>
      </c>
      <c r="E16" s="80">
        <f>H16+I16+J16</f>
        <v>38223</v>
      </c>
      <c r="F16" s="80" t="e">
        <f>#REF!+#REF!+#REF!+#REF!</f>
        <v>#REF!</v>
      </c>
      <c r="G16" s="80" t="e">
        <f>#REF!+#REF!+#REF!+#REF!</f>
        <v>#REF!</v>
      </c>
      <c r="H16" s="80">
        <f aca="true" t="shared" si="0" ref="H16:J17">H18+H20</f>
        <v>38223</v>
      </c>
      <c r="I16" s="80">
        <f t="shared" si="0"/>
        <v>0</v>
      </c>
      <c r="J16" s="80">
        <f t="shared" si="0"/>
        <v>0</v>
      </c>
      <c r="K16" s="418"/>
      <c r="L16" s="393"/>
      <c r="M16" s="28"/>
      <c r="N16" s="28"/>
      <c r="O16" s="404"/>
      <c r="P16" s="404"/>
      <c r="Q16" s="404"/>
    </row>
    <row r="17" spans="1:17" ht="56.25" customHeight="1">
      <c r="A17" s="416"/>
      <c r="B17" s="355"/>
      <c r="C17" s="426"/>
      <c r="D17" s="25" t="s">
        <v>6</v>
      </c>
      <c r="E17" s="80">
        <f>H17+I17+J17</f>
        <v>115143795</v>
      </c>
      <c r="F17" s="80" t="e">
        <f>#REF!+#REF!+#REF!</f>
        <v>#REF!</v>
      </c>
      <c r="G17" s="80" t="e">
        <f>#REF!+#REF!+#REF!</f>
        <v>#REF!</v>
      </c>
      <c r="H17" s="80">
        <f>H19+H21</f>
        <v>38697267</v>
      </c>
      <c r="I17" s="80">
        <f t="shared" si="0"/>
        <v>38223264</v>
      </c>
      <c r="J17" s="80">
        <f t="shared" si="0"/>
        <v>38223264</v>
      </c>
      <c r="K17" s="419"/>
      <c r="L17" s="394"/>
      <c r="M17" s="29"/>
      <c r="N17" s="29"/>
      <c r="O17" s="405"/>
      <c r="P17" s="405"/>
      <c r="Q17" s="405"/>
    </row>
    <row r="18" spans="1:17" ht="23.25" customHeight="1" hidden="1">
      <c r="A18" s="423" t="s">
        <v>46</v>
      </c>
      <c r="B18" s="408" t="s">
        <v>95</v>
      </c>
      <c r="C18" s="423" t="s">
        <v>97</v>
      </c>
      <c r="D18" s="30" t="s">
        <v>7</v>
      </c>
      <c r="E18" s="64">
        <f>+H18+I18+J18</f>
        <v>0</v>
      </c>
      <c r="F18" s="64"/>
      <c r="G18" s="64"/>
      <c r="H18" s="81"/>
      <c r="I18" s="83"/>
      <c r="J18" s="81"/>
      <c r="K18" s="410" t="s">
        <v>100</v>
      </c>
      <c r="L18" s="406" t="s">
        <v>101</v>
      </c>
      <c r="M18" s="406"/>
      <c r="N18" s="406"/>
      <c r="O18" s="406">
        <v>11</v>
      </c>
      <c r="P18" s="406">
        <v>11</v>
      </c>
      <c r="Q18" s="406">
        <v>11</v>
      </c>
    </row>
    <row r="19" spans="1:17" ht="39" customHeight="1">
      <c r="A19" s="424"/>
      <c r="B19" s="425"/>
      <c r="C19" s="426"/>
      <c r="D19" s="31" t="s">
        <v>6</v>
      </c>
      <c r="E19" s="64">
        <f>+H19+I19+J19</f>
        <v>115105572</v>
      </c>
      <c r="F19" s="77"/>
      <c r="G19" s="77"/>
      <c r="H19" s="77">
        <v>38659044</v>
      </c>
      <c r="I19" s="100">
        <v>38223264</v>
      </c>
      <c r="J19" s="77">
        <v>38223264</v>
      </c>
      <c r="K19" s="411"/>
      <c r="L19" s="407"/>
      <c r="M19" s="407"/>
      <c r="N19" s="407"/>
      <c r="O19" s="407"/>
      <c r="P19" s="407"/>
      <c r="Q19" s="407"/>
    </row>
    <row r="20" spans="1:17" ht="32.25" customHeight="1">
      <c r="A20" s="423" t="s">
        <v>47</v>
      </c>
      <c r="B20" s="408" t="s">
        <v>96</v>
      </c>
      <c r="C20" s="386" t="s">
        <v>97</v>
      </c>
      <c r="D20" s="30" t="s">
        <v>7</v>
      </c>
      <c r="E20" s="64">
        <f>+H20+I20+J20</f>
        <v>38223</v>
      </c>
      <c r="F20" s="64"/>
      <c r="G20" s="64"/>
      <c r="H20" s="64">
        <v>38223</v>
      </c>
      <c r="I20" s="64">
        <v>0</v>
      </c>
      <c r="J20" s="64">
        <v>0</v>
      </c>
      <c r="K20" s="410"/>
      <c r="L20" s="406" t="s">
        <v>87</v>
      </c>
      <c r="M20" s="406"/>
      <c r="N20" s="406"/>
      <c r="O20" s="406">
        <v>0</v>
      </c>
      <c r="P20" s="406">
        <v>0</v>
      </c>
      <c r="Q20" s="406">
        <v>0</v>
      </c>
    </row>
    <row r="21" spans="1:17" ht="32.25" customHeight="1">
      <c r="A21" s="424"/>
      <c r="B21" s="409"/>
      <c r="C21" s="388"/>
      <c r="D21" s="30" t="s">
        <v>6</v>
      </c>
      <c r="E21" s="64">
        <f>+H21+I21+J21</f>
        <v>38223</v>
      </c>
      <c r="F21" s="64"/>
      <c r="G21" s="64"/>
      <c r="H21" s="64">
        <v>38223</v>
      </c>
      <c r="I21" s="64">
        <v>0</v>
      </c>
      <c r="J21" s="64">
        <v>0</v>
      </c>
      <c r="K21" s="411"/>
      <c r="L21" s="407"/>
      <c r="M21" s="407"/>
      <c r="N21" s="407"/>
      <c r="O21" s="407"/>
      <c r="P21" s="407"/>
      <c r="Q21" s="407"/>
    </row>
    <row r="22" spans="1:17" ht="27" customHeight="1">
      <c r="A22" s="348" t="s">
        <v>1</v>
      </c>
      <c r="B22" s="353" t="s">
        <v>102</v>
      </c>
      <c r="C22" s="414" t="s">
        <v>106</v>
      </c>
      <c r="D22" s="25" t="s">
        <v>13</v>
      </c>
      <c r="E22" s="80">
        <f>H22+I22+J22</f>
        <v>77856391</v>
      </c>
      <c r="F22" s="80" t="e">
        <f>SUM(F23:F24)</f>
        <v>#REF!</v>
      </c>
      <c r="G22" s="80" t="e">
        <f>SUM(G23:G24)</f>
        <v>#REF!</v>
      </c>
      <c r="H22" s="80">
        <f>H23+H24</f>
        <v>27225265</v>
      </c>
      <c r="I22" s="65">
        <f>I23+I24</f>
        <v>25315563</v>
      </c>
      <c r="J22" s="80">
        <f>J23+J24</f>
        <v>25315563</v>
      </c>
      <c r="K22" s="417" t="s">
        <v>104</v>
      </c>
      <c r="L22" s="392" t="s">
        <v>36</v>
      </c>
      <c r="M22" s="32"/>
      <c r="N22" s="32"/>
      <c r="O22" s="420" t="s">
        <v>105</v>
      </c>
      <c r="P22" s="420" t="s">
        <v>105</v>
      </c>
      <c r="Q22" s="420" t="s">
        <v>105</v>
      </c>
    </row>
    <row r="23" spans="1:17" ht="24" customHeight="1">
      <c r="A23" s="349"/>
      <c r="B23" s="354"/>
      <c r="C23" s="415"/>
      <c r="D23" s="25" t="s">
        <v>6</v>
      </c>
      <c r="E23" s="80">
        <f>H23+I23+J23</f>
        <v>77240323</v>
      </c>
      <c r="F23" s="80" t="e">
        <f>F25+F43+#REF!+#REF!</f>
        <v>#REF!</v>
      </c>
      <c r="G23" s="80" t="e">
        <f>G25+G43+#REF!+#REF!</f>
        <v>#REF!</v>
      </c>
      <c r="H23" s="80">
        <f>H27+H25</f>
        <v>26609197</v>
      </c>
      <c r="I23" s="65">
        <f>I27+I25</f>
        <v>25315563</v>
      </c>
      <c r="J23" s="80">
        <f>J27+J25</f>
        <v>25315563</v>
      </c>
      <c r="K23" s="418"/>
      <c r="L23" s="393"/>
      <c r="M23" s="34"/>
      <c r="N23" s="34"/>
      <c r="O23" s="421"/>
      <c r="P23" s="421"/>
      <c r="Q23" s="421"/>
    </row>
    <row r="24" spans="1:17" ht="22.5" customHeight="1">
      <c r="A24" s="350"/>
      <c r="B24" s="355"/>
      <c r="C24" s="416"/>
      <c r="D24" s="25" t="s">
        <v>7</v>
      </c>
      <c r="E24" s="80">
        <f>H24+I24+J24</f>
        <v>616068</v>
      </c>
      <c r="F24" s="80" t="e">
        <f>#REF!+#REF!+F44+#REF!</f>
        <v>#REF!</v>
      </c>
      <c r="G24" s="80" t="e">
        <f>#REF!+#REF!+G44+#REF!</f>
        <v>#REF!</v>
      </c>
      <c r="H24" s="80">
        <f>H28</f>
        <v>616068</v>
      </c>
      <c r="I24" s="66">
        <f>I26</f>
        <v>0</v>
      </c>
      <c r="J24" s="66">
        <f>J26</f>
        <v>0</v>
      </c>
      <c r="K24" s="419"/>
      <c r="L24" s="394"/>
      <c r="M24" s="35"/>
      <c r="N24" s="35"/>
      <c r="O24" s="422"/>
      <c r="P24" s="422"/>
      <c r="Q24" s="422"/>
    </row>
    <row r="25" spans="1:17" ht="31.5" customHeight="1">
      <c r="A25" s="336" t="s">
        <v>49</v>
      </c>
      <c r="B25" s="408" t="s">
        <v>103</v>
      </c>
      <c r="C25" s="338" t="s">
        <v>106</v>
      </c>
      <c r="D25" s="31" t="s">
        <v>6</v>
      </c>
      <c r="E25" s="64">
        <f>H25+I25+J25</f>
        <v>76624255</v>
      </c>
      <c r="F25" s="64">
        <v>190951400</v>
      </c>
      <c r="G25" s="64">
        <v>209574800</v>
      </c>
      <c r="H25" s="77">
        <v>25993129</v>
      </c>
      <c r="I25" s="100">
        <v>25315563</v>
      </c>
      <c r="J25" s="101">
        <v>25315563</v>
      </c>
      <c r="K25" s="410" t="s">
        <v>107</v>
      </c>
      <c r="L25" s="406" t="s">
        <v>40</v>
      </c>
      <c r="M25" s="36"/>
      <c r="N25" s="36"/>
      <c r="O25" s="412">
        <v>0</v>
      </c>
      <c r="P25" s="406">
        <v>0</v>
      </c>
      <c r="Q25" s="406">
        <v>0</v>
      </c>
    </row>
    <row r="26" spans="1:17" ht="39" customHeight="1" hidden="1">
      <c r="A26" s="337"/>
      <c r="B26" s="409"/>
      <c r="C26" s="339"/>
      <c r="D26" s="31" t="s">
        <v>6</v>
      </c>
      <c r="E26" s="77">
        <f>H26+I26+J26</f>
        <v>0</v>
      </c>
      <c r="F26" s="77"/>
      <c r="G26" s="77"/>
      <c r="H26" s="77"/>
      <c r="I26" s="77"/>
      <c r="J26" s="77"/>
      <c r="K26" s="411"/>
      <c r="L26" s="407"/>
      <c r="M26" s="36"/>
      <c r="N26" s="36"/>
      <c r="O26" s="413"/>
      <c r="P26" s="407"/>
      <c r="Q26" s="407"/>
    </row>
    <row r="27" spans="1:17" ht="42" customHeight="1">
      <c r="A27" s="336" t="s">
        <v>50</v>
      </c>
      <c r="B27" s="351" t="s">
        <v>96</v>
      </c>
      <c r="C27" s="338" t="s">
        <v>106</v>
      </c>
      <c r="D27" s="30" t="s">
        <v>6</v>
      </c>
      <c r="E27" s="64">
        <f aca="true" t="shared" si="1" ref="E27:E38">H27+I27+J27</f>
        <v>616068</v>
      </c>
      <c r="F27" s="64"/>
      <c r="G27" s="64"/>
      <c r="H27" s="64">
        <v>616068</v>
      </c>
      <c r="I27" s="64">
        <v>0</v>
      </c>
      <c r="J27" s="64">
        <v>0</v>
      </c>
      <c r="K27" s="40"/>
      <c r="L27" s="41"/>
      <c r="M27" s="41"/>
      <c r="N27" s="41"/>
      <c r="O27" s="41"/>
      <c r="P27" s="41"/>
      <c r="Q27" s="41"/>
    </row>
    <row r="28" spans="1:17" ht="37.5" customHeight="1">
      <c r="A28" s="337"/>
      <c r="B28" s="352"/>
      <c r="C28" s="339"/>
      <c r="D28" s="30" t="s">
        <v>7</v>
      </c>
      <c r="E28" s="64">
        <f t="shared" si="1"/>
        <v>616068</v>
      </c>
      <c r="F28" s="64"/>
      <c r="G28" s="64"/>
      <c r="H28" s="64">
        <v>616068</v>
      </c>
      <c r="I28" s="64">
        <v>0</v>
      </c>
      <c r="J28" s="64">
        <v>0</v>
      </c>
      <c r="K28" s="40"/>
      <c r="L28" s="41"/>
      <c r="M28" s="92"/>
      <c r="N28" s="92"/>
      <c r="O28" s="93"/>
      <c r="P28" s="93"/>
      <c r="Q28" s="93"/>
    </row>
    <row r="29" spans="1:17" ht="22.5" customHeight="1" hidden="1">
      <c r="A29" s="348" t="s">
        <v>2</v>
      </c>
      <c r="B29" s="345" t="s">
        <v>84</v>
      </c>
      <c r="C29" s="342" t="s">
        <v>73</v>
      </c>
      <c r="D29" s="25" t="s">
        <v>13</v>
      </c>
      <c r="E29" s="64">
        <f aca="true" t="shared" si="2" ref="E29:J29">E30+E31</f>
        <v>0</v>
      </c>
      <c r="F29" s="64">
        <f t="shared" si="2"/>
        <v>0</v>
      </c>
      <c r="G29" s="64">
        <f t="shared" si="2"/>
        <v>0</v>
      </c>
      <c r="H29" s="81">
        <f t="shared" si="2"/>
        <v>0</v>
      </c>
      <c r="I29" s="81">
        <f t="shared" si="2"/>
        <v>0</v>
      </c>
      <c r="J29" s="81">
        <f t="shared" si="2"/>
        <v>0</v>
      </c>
      <c r="K29" s="40"/>
      <c r="L29" s="41"/>
      <c r="M29" s="92"/>
      <c r="N29" s="92"/>
      <c r="O29" s="93"/>
      <c r="P29" s="93"/>
      <c r="Q29" s="93"/>
    </row>
    <row r="30" spans="1:17" ht="35.25" customHeight="1" hidden="1">
      <c r="A30" s="349"/>
      <c r="B30" s="346"/>
      <c r="C30" s="343"/>
      <c r="D30" s="25" t="s">
        <v>6</v>
      </c>
      <c r="E30" s="80">
        <f t="shared" si="1"/>
        <v>0</v>
      </c>
      <c r="F30" s="80"/>
      <c r="G30" s="80"/>
      <c r="H30" s="82"/>
      <c r="I30" s="82"/>
      <c r="J30" s="82"/>
      <c r="K30" s="43" t="s">
        <v>70</v>
      </c>
      <c r="L30" s="44" t="s">
        <v>36</v>
      </c>
      <c r="M30" s="45"/>
      <c r="N30" s="45"/>
      <c r="O30" s="46" t="s">
        <v>71</v>
      </c>
      <c r="P30" s="46" t="s">
        <v>71</v>
      </c>
      <c r="Q30" s="46" t="s">
        <v>71</v>
      </c>
    </row>
    <row r="31" spans="1:17" ht="25.5" customHeight="1" hidden="1">
      <c r="A31" s="350"/>
      <c r="B31" s="347"/>
      <c r="C31" s="344"/>
      <c r="D31" s="25" t="s">
        <v>7</v>
      </c>
      <c r="E31" s="80">
        <f>E34</f>
        <v>0</v>
      </c>
      <c r="F31" s="80">
        <f>F34</f>
        <v>0</v>
      </c>
      <c r="G31" s="80">
        <f>G34</f>
        <v>0</v>
      </c>
      <c r="H31" s="82"/>
      <c r="I31" s="82"/>
      <c r="J31" s="82"/>
      <c r="K31" s="88"/>
      <c r="L31" s="89"/>
      <c r="M31" s="90"/>
      <c r="N31" s="90"/>
      <c r="O31" s="91"/>
      <c r="P31" s="91"/>
      <c r="Q31" s="91"/>
    </row>
    <row r="32" spans="1:17" ht="54" customHeight="1" hidden="1">
      <c r="A32" s="37" t="s">
        <v>51</v>
      </c>
      <c r="B32" s="84" t="s">
        <v>14</v>
      </c>
      <c r="C32" s="39" t="s">
        <v>73</v>
      </c>
      <c r="D32" s="30" t="s">
        <v>6</v>
      </c>
      <c r="E32" s="64">
        <f t="shared" si="1"/>
        <v>0</v>
      </c>
      <c r="F32" s="64"/>
      <c r="G32" s="64"/>
      <c r="H32" s="81"/>
      <c r="I32" s="81"/>
      <c r="J32" s="81"/>
      <c r="K32" s="62" t="s">
        <v>65</v>
      </c>
      <c r="L32" s="79" t="s">
        <v>66</v>
      </c>
      <c r="M32" s="79">
        <v>1550</v>
      </c>
      <c r="N32" s="79">
        <v>1700</v>
      </c>
      <c r="O32" s="76">
        <v>8421256</v>
      </c>
      <c r="P32" s="76">
        <v>8421256</v>
      </c>
      <c r="Q32" s="76">
        <v>8421256</v>
      </c>
    </row>
    <row r="33" spans="1:17" ht="36.75" customHeight="1" hidden="1">
      <c r="A33" s="336" t="s">
        <v>52</v>
      </c>
      <c r="B33" s="340" t="s">
        <v>90</v>
      </c>
      <c r="C33" s="338" t="s">
        <v>73</v>
      </c>
      <c r="D33" s="31" t="s">
        <v>6</v>
      </c>
      <c r="E33" s="64">
        <f t="shared" si="1"/>
        <v>0</v>
      </c>
      <c r="F33" s="78"/>
      <c r="G33" s="78"/>
      <c r="H33" s="99"/>
      <c r="I33" s="99"/>
      <c r="J33" s="99"/>
      <c r="K33" s="62"/>
      <c r="L33" s="79"/>
      <c r="M33" s="85"/>
      <c r="N33" s="85"/>
      <c r="O33" s="86"/>
      <c r="P33" s="86"/>
      <c r="Q33" s="86"/>
    </row>
    <row r="34" spans="1:17" ht="33.75" customHeight="1" hidden="1">
      <c r="A34" s="337"/>
      <c r="B34" s="341"/>
      <c r="C34" s="339"/>
      <c r="D34" s="30" t="s">
        <v>7</v>
      </c>
      <c r="E34" s="64">
        <f t="shared" si="1"/>
        <v>0</v>
      </c>
      <c r="F34" s="64"/>
      <c r="G34" s="64"/>
      <c r="H34" s="81"/>
      <c r="I34" s="99"/>
      <c r="J34" s="99"/>
      <c r="K34" s="62"/>
      <c r="L34" s="79"/>
      <c r="M34" s="85"/>
      <c r="N34" s="85"/>
      <c r="O34" s="86"/>
      <c r="P34" s="86"/>
      <c r="Q34" s="86"/>
    </row>
    <row r="35" spans="1:17" ht="83.25" customHeight="1" hidden="1">
      <c r="A35" s="87" t="s">
        <v>3</v>
      </c>
      <c r="B35" s="94" t="s">
        <v>85</v>
      </c>
      <c r="C35" s="97" t="s">
        <v>45</v>
      </c>
      <c r="D35" s="67" t="s">
        <v>6</v>
      </c>
      <c r="E35" s="67">
        <f t="shared" si="1"/>
        <v>0</v>
      </c>
      <c r="F35" s="95"/>
      <c r="G35" s="95"/>
      <c r="H35" s="95">
        <f>H36</f>
        <v>0</v>
      </c>
      <c r="I35" s="96">
        <f>I36</f>
        <v>0</v>
      </c>
      <c r="J35" s="96">
        <f>J36</f>
        <v>0</v>
      </c>
      <c r="K35" s="43" t="s">
        <v>70</v>
      </c>
      <c r="L35" s="44" t="s">
        <v>36</v>
      </c>
      <c r="M35" s="45"/>
      <c r="N35" s="45"/>
      <c r="O35" s="46" t="s">
        <v>71</v>
      </c>
      <c r="P35" s="46" t="s">
        <v>71</v>
      </c>
      <c r="Q35" s="46" t="s">
        <v>71</v>
      </c>
    </row>
    <row r="36" spans="1:18" ht="90" customHeight="1" hidden="1">
      <c r="A36" s="37" t="s">
        <v>53</v>
      </c>
      <c r="B36" s="84" t="s">
        <v>60</v>
      </c>
      <c r="C36" s="98" t="s">
        <v>45</v>
      </c>
      <c r="D36" s="64" t="s">
        <v>6</v>
      </c>
      <c r="E36" s="64">
        <f t="shared" si="1"/>
        <v>0</v>
      </c>
      <c r="F36" s="81"/>
      <c r="G36" s="81"/>
      <c r="H36" s="81"/>
      <c r="I36" s="81"/>
      <c r="J36" s="81"/>
      <c r="K36" s="47" t="s">
        <v>59</v>
      </c>
      <c r="L36" s="79" t="s">
        <v>67</v>
      </c>
      <c r="M36" s="79"/>
      <c r="N36" s="79"/>
      <c r="O36" s="79" t="s">
        <v>88</v>
      </c>
      <c r="P36" s="79" t="s">
        <v>88</v>
      </c>
      <c r="Q36" s="79" t="s">
        <v>88</v>
      </c>
      <c r="R36" s="58"/>
    </row>
    <row r="37" spans="1:17" ht="29.25" customHeight="1" hidden="1">
      <c r="A37" s="348" t="s">
        <v>4</v>
      </c>
      <c r="B37" s="353" t="s">
        <v>86</v>
      </c>
      <c r="C37" s="342" t="s">
        <v>74</v>
      </c>
      <c r="D37" s="25" t="s">
        <v>13</v>
      </c>
      <c r="E37" s="80">
        <f>H37+I37+J37</f>
        <v>0</v>
      </c>
      <c r="F37" s="68"/>
      <c r="G37" s="68"/>
      <c r="H37" s="69">
        <f>H39+H38</f>
        <v>0</v>
      </c>
      <c r="I37" s="69">
        <f>I39+I38</f>
        <v>0</v>
      </c>
      <c r="J37" s="69">
        <f>J39+J38</f>
        <v>0</v>
      </c>
      <c r="K37" s="399" t="s">
        <v>70</v>
      </c>
      <c r="L37" s="401" t="s">
        <v>36</v>
      </c>
      <c r="M37" s="48"/>
      <c r="N37" s="48"/>
      <c r="O37" s="403" t="s">
        <v>71</v>
      </c>
      <c r="P37" s="392" t="s">
        <v>71</v>
      </c>
      <c r="Q37" s="392" t="s">
        <v>71</v>
      </c>
    </row>
    <row r="38" spans="1:17" ht="19.5" customHeight="1" hidden="1">
      <c r="A38" s="349"/>
      <c r="B38" s="354"/>
      <c r="C38" s="343"/>
      <c r="D38" s="25" t="s">
        <v>7</v>
      </c>
      <c r="E38" s="80">
        <f t="shared" si="1"/>
        <v>0</v>
      </c>
      <c r="F38" s="68"/>
      <c r="G38" s="68"/>
      <c r="H38" s="69">
        <f>H42+H47</f>
        <v>0</v>
      </c>
      <c r="I38" s="80">
        <f>I42+I47</f>
        <v>0</v>
      </c>
      <c r="J38" s="69">
        <f>J42+J47</f>
        <v>0</v>
      </c>
      <c r="K38" s="400"/>
      <c r="L38" s="402"/>
      <c r="M38" s="49"/>
      <c r="N38" s="49"/>
      <c r="O38" s="404"/>
      <c r="P38" s="393"/>
      <c r="Q38" s="393"/>
    </row>
    <row r="39" spans="1:17" ht="19.5" customHeight="1" hidden="1">
      <c r="A39" s="349"/>
      <c r="B39" s="354"/>
      <c r="C39" s="343"/>
      <c r="D39" s="395" t="s">
        <v>6</v>
      </c>
      <c r="E39" s="397">
        <f>H39+I39+J39</f>
        <v>0</v>
      </c>
      <c r="F39" s="80"/>
      <c r="G39" s="80"/>
      <c r="H39" s="397">
        <f>H46</f>
        <v>0</v>
      </c>
      <c r="I39" s="397">
        <f>I46</f>
        <v>0</v>
      </c>
      <c r="J39" s="397">
        <f>J46</f>
        <v>0</v>
      </c>
      <c r="K39" s="400"/>
      <c r="L39" s="402"/>
      <c r="M39" s="49"/>
      <c r="N39" s="49"/>
      <c r="O39" s="405"/>
      <c r="P39" s="394"/>
      <c r="Q39" s="394"/>
    </row>
    <row r="40" spans="1:17" ht="15" customHeight="1" hidden="1">
      <c r="A40" s="33" t="s">
        <v>61</v>
      </c>
      <c r="B40" s="355"/>
      <c r="C40" s="344"/>
      <c r="D40" s="396"/>
      <c r="E40" s="398"/>
      <c r="F40" s="80"/>
      <c r="G40" s="80"/>
      <c r="H40" s="398"/>
      <c r="I40" s="398"/>
      <c r="J40" s="398"/>
      <c r="K40" s="50"/>
      <c r="L40" s="51"/>
      <c r="M40" s="51"/>
      <c r="N40" s="51"/>
      <c r="O40" s="51"/>
      <c r="P40" s="51"/>
      <c r="Q40" s="52"/>
    </row>
    <row r="41" spans="1:17" ht="15" customHeight="1" hidden="1">
      <c r="A41" s="33"/>
      <c r="B41" s="27"/>
      <c r="C41" s="42"/>
      <c r="D41" s="25"/>
      <c r="E41" s="80"/>
      <c r="F41" s="80"/>
      <c r="G41" s="80"/>
      <c r="H41" s="80"/>
      <c r="I41" s="80"/>
      <c r="J41" s="80"/>
      <c r="K41" s="62"/>
      <c r="L41" s="79"/>
      <c r="M41" s="61"/>
      <c r="N41" s="61"/>
      <c r="O41" s="61"/>
      <c r="P41" s="61"/>
      <c r="Q41" s="79"/>
    </row>
    <row r="42" spans="1:17" ht="26.25" customHeight="1" hidden="1">
      <c r="A42" s="336" t="s">
        <v>56</v>
      </c>
      <c r="B42" s="382" t="s">
        <v>37</v>
      </c>
      <c r="C42" s="338" t="s">
        <v>75</v>
      </c>
      <c r="D42" s="386" t="s">
        <v>7</v>
      </c>
      <c r="E42" s="389">
        <f>H42+I42+J42</f>
        <v>0</v>
      </c>
      <c r="F42" s="70"/>
      <c r="G42" s="70"/>
      <c r="H42" s="372"/>
      <c r="I42" s="372"/>
      <c r="J42" s="372"/>
      <c r="K42" s="375" t="s">
        <v>79</v>
      </c>
      <c r="L42" s="378" t="s">
        <v>40</v>
      </c>
      <c r="M42" s="61"/>
      <c r="N42" s="61"/>
      <c r="O42" s="365" t="s">
        <v>80</v>
      </c>
      <c r="P42" s="365" t="s">
        <v>80</v>
      </c>
      <c r="Q42" s="365" t="s">
        <v>80</v>
      </c>
    </row>
    <row r="43" spans="1:17" ht="27.75" customHeight="1" hidden="1">
      <c r="A43" s="381"/>
      <c r="B43" s="383"/>
      <c r="C43" s="385"/>
      <c r="D43" s="387"/>
      <c r="E43" s="390"/>
      <c r="F43" s="64">
        <v>10182900</v>
      </c>
      <c r="G43" s="64">
        <v>11490700</v>
      </c>
      <c r="H43" s="373"/>
      <c r="I43" s="373"/>
      <c r="J43" s="373"/>
      <c r="K43" s="376"/>
      <c r="L43" s="379"/>
      <c r="M43" s="368">
        <v>100</v>
      </c>
      <c r="N43" s="368">
        <v>100</v>
      </c>
      <c r="O43" s="366"/>
      <c r="P43" s="366"/>
      <c r="Q43" s="366"/>
    </row>
    <row r="44" spans="1:17" ht="12" customHeight="1" hidden="1">
      <c r="A44" s="381"/>
      <c r="B44" s="383"/>
      <c r="C44" s="385"/>
      <c r="D44" s="387"/>
      <c r="E44" s="390"/>
      <c r="F44" s="64">
        <v>2312753</v>
      </c>
      <c r="G44" s="64">
        <v>2497880</v>
      </c>
      <c r="H44" s="373"/>
      <c r="I44" s="373"/>
      <c r="J44" s="373"/>
      <c r="K44" s="376"/>
      <c r="L44" s="379"/>
      <c r="M44" s="369"/>
      <c r="N44" s="369"/>
      <c r="O44" s="366"/>
      <c r="P44" s="366"/>
      <c r="Q44" s="366"/>
    </row>
    <row r="45" spans="1:17" ht="17.25" customHeight="1" hidden="1">
      <c r="A45" s="337"/>
      <c r="B45" s="384"/>
      <c r="C45" s="339"/>
      <c r="D45" s="388"/>
      <c r="E45" s="391"/>
      <c r="F45" s="64"/>
      <c r="G45" s="64"/>
      <c r="H45" s="374"/>
      <c r="I45" s="374"/>
      <c r="J45" s="374"/>
      <c r="K45" s="377"/>
      <c r="L45" s="380"/>
      <c r="M45" s="75"/>
      <c r="N45" s="75"/>
      <c r="O45" s="367"/>
      <c r="P45" s="367"/>
      <c r="Q45" s="367"/>
    </row>
    <row r="46" spans="1:17" ht="48" customHeight="1" hidden="1">
      <c r="A46" s="37" t="s">
        <v>63</v>
      </c>
      <c r="B46" s="38" t="s">
        <v>62</v>
      </c>
      <c r="C46" s="30" t="s">
        <v>76</v>
      </c>
      <c r="D46" s="30" t="s">
        <v>6</v>
      </c>
      <c r="E46" s="64">
        <f>H46+I46+J46</f>
        <v>0</v>
      </c>
      <c r="F46" s="64"/>
      <c r="G46" s="64"/>
      <c r="H46" s="81"/>
      <c r="I46" s="81"/>
      <c r="J46" s="81"/>
      <c r="K46" s="53" t="s">
        <v>81</v>
      </c>
      <c r="L46" s="41" t="s">
        <v>40</v>
      </c>
      <c r="M46" s="75"/>
      <c r="N46" s="75"/>
      <c r="O46" s="71">
        <v>3253.6</v>
      </c>
      <c r="P46" s="72">
        <v>3253.6</v>
      </c>
      <c r="Q46" s="73">
        <v>3253.6</v>
      </c>
    </row>
    <row r="47" spans="1:18" ht="96" customHeight="1" hidden="1">
      <c r="A47" s="19" t="s">
        <v>64</v>
      </c>
      <c r="B47" s="38" t="s">
        <v>39</v>
      </c>
      <c r="C47" s="30" t="s">
        <v>76</v>
      </c>
      <c r="D47" s="30" t="s">
        <v>7</v>
      </c>
      <c r="E47" s="64">
        <f>H47+I47+J47</f>
        <v>0</v>
      </c>
      <c r="F47" s="64"/>
      <c r="G47" s="64"/>
      <c r="H47" s="81"/>
      <c r="I47" s="81"/>
      <c r="J47" s="81"/>
      <c r="K47" s="54" t="s">
        <v>69</v>
      </c>
      <c r="L47" s="79" t="s">
        <v>67</v>
      </c>
      <c r="M47" s="79"/>
      <c r="N47" s="79"/>
      <c r="O47" s="79" t="s">
        <v>88</v>
      </c>
      <c r="P47" s="79" t="s">
        <v>88</v>
      </c>
      <c r="Q47" s="79" t="s">
        <v>88</v>
      </c>
      <c r="R47" s="5"/>
    </row>
    <row r="48" spans="1:17" ht="15">
      <c r="A48" s="348"/>
      <c r="B48" s="370" t="s">
        <v>41</v>
      </c>
      <c r="C48" s="349"/>
      <c r="D48" s="60" t="s">
        <v>13</v>
      </c>
      <c r="E48" s="74">
        <f>E49+E50</f>
        <v>193038409</v>
      </c>
      <c r="F48" s="74" t="e">
        <f>SUM(F49:F50)</f>
        <v>#REF!</v>
      </c>
      <c r="G48" s="74" t="e">
        <f>SUM(G49:G50)</f>
        <v>#REF!</v>
      </c>
      <c r="H48" s="67">
        <f>H22+H15</f>
        <v>65960755</v>
      </c>
      <c r="I48" s="67">
        <f>I22+I15</f>
        <v>63538827</v>
      </c>
      <c r="J48" s="67">
        <f>J22+J15</f>
        <v>63538827</v>
      </c>
      <c r="K48" s="359"/>
      <c r="L48" s="360"/>
      <c r="M48" s="360"/>
      <c r="N48" s="360"/>
      <c r="O48" s="360"/>
      <c r="P48" s="360"/>
      <c r="Q48" s="361"/>
    </row>
    <row r="49" spans="1:17" ht="15">
      <c r="A49" s="349"/>
      <c r="B49" s="370"/>
      <c r="C49" s="349"/>
      <c r="D49" s="25" t="s">
        <v>7</v>
      </c>
      <c r="E49" s="80">
        <f>H49+I49+J49</f>
        <v>654291</v>
      </c>
      <c r="F49" s="80" t="e">
        <f>F16+F23+#REF!+#REF!</f>
        <v>#REF!</v>
      </c>
      <c r="G49" s="80" t="e">
        <f>G16+G23+#REF!+#REF!</f>
        <v>#REF!</v>
      </c>
      <c r="H49" s="80">
        <f>H24+H16</f>
        <v>654291</v>
      </c>
      <c r="I49" s="80">
        <f>I24+I16</f>
        <v>0</v>
      </c>
      <c r="J49" s="80">
        <f>J24+J16</f>
        <v>0</v>
      </c>
      <c r="K49" s="359"/>
      <c r="L49" s="360"/>
      <c r="M49" s="360"/>
      <c r="N49" s="360"/>
      <c r="O49" s="360"/>
      <c r="P49" s="360"/>
      <c r="Q49" s="361"/>
    </row>
    <row r="50" spans="1:17" ht="15">
      <c r="A50" s="350"/>
      <c r="B50" s="371"/>
      <c r="C50" s="350"/>
      <c r="D50" s="25" t="s">
        <v>6</v>
      </c>
      <c r="E50" s="80">
        <f>H50+I50+J50</f>
        <v>192384118</v>
      </c>
      <c r="F50" s="80" t="e">
        <f>F17+F24+#REF!+#REF!</f>
        <v>#REF!</v>
      </c>
      <c r="G50" s="80" t="e">
        <f>G17+G24+#REF!+#REF!</f>
        <v>#REF!</v>
      </c>
      <c r="H50" s="74">
        <f>H48-H49</f>
        <v>65306464</v>
      </c>
      <c r="I50" s="74">
        <f>I48-I49</f>
        <v>63538827</v>
      </c>
      <c r="J50" s="74">
        <f>J48-J49</f>
        <v>63538827</v>
      </c>
      <c r="K50" s="362"/>
      <c r="L50" s="363"/>
      <c r="M50" s="363"/>
      <c r="N50" s="363"/>
      <c r="O50" s="363"/>
      <c r="P50" s="363"/>
      <c r="Q50" s="364"/>
    </row>
    <row r="51" spans="1:17" ht="15">
      <c r="A51" s="348"/>
      <c r="B51" s="353" t="s">
        <v>42</v>
      </c>
      <c r="C51" s="348"/>
      <c r="D51" s="25" t="s">
        <v>13</v>
      </c>
      <c r="E51" s="80">
        <f>H51+I51+J51</f>
        <v>193038409</v>
      </c>
      <c r="F51" s="80" t="e">
        <f>SUM(F52:F53)</f>
        <v>#REF!</v>
      </c>
      <c r="G51" s="80" t="e">
        <f>SUM(G52:G53)</f>
        <v>#REF!</v>
      </c>
      <c r="H51" s="80">
        <f aca="true" t="shared" si="3" ref="H51:J53">H48</f>
        <v>65960755</v>
      </c>
      <c r="I51" s="80">
        <f t="shared" si="3"/>
        <v>63538827</v>
      </c>
      <c r="J51" s="80">
        <f t="shared" si="3"/>
        <v>63538827</v>
      </c>
      <c r="K51" s="356"/>
      <c r="L51" s="357"/>
      <c r="M51" s="357"/>
      <c r="N51" s="357"/>
      <c r="O51" s="357"/>
      <c r="P51" s="357"/>
      <c r="Q51" s="358"/>
    </row>
    <row r="52" spans="1:17" ht="15">
      <c r="A52" s="349"/>
      <c r="B52" s="354"/>
      <c r="C52" s="349"/>
      <c r="D52" s="25" t="s">
        <v>7</v>
      </c>
      <c r="E52" s="80">
        <f>H52+I52+J52</f>
        <v>654291</v>
      </c>
      <c r="F52" s="80" t="e">
        <f>#REF!+F25</f>
        <v>#REF!</v>
      </c>
      <c r="G52" s="80" t="e">
        <f>#REF!+G25</f>
        <v>#REF!</v>
      </c>
      <c r="H52" s="80">
        <f t="shared" si="3"/>
        <v>654291</v>
      </c>
      <c r="I52" s="80">
        <f t="shared" si="3"/>
        <v>0</v>
      </c>
      <c r="J52" s="80">
        <f t="shared" si="3"/>
        <v>0</v>
      </c>
      <c r="K52" s="359"/>
      <c r="L52" s="360"/>
      <c r="M52" s="360"/>
      <c r="N52" s="360"/>
      <c r="O52" s="360"/>
      <c r="P52" s="360"/>
      <c r="Q52" s="361"/>
    </row>
    <row r="53" spans="1:17" ht="15">
      <c r="A53" s="350"/>
      <c r="B53" s="355"/>
      <c r="C53" s="350"/>
      <c r="D53" s="25" t="s">
        <v>6</v>
      </c>
      <c r="E53" s="80">
        <f>H53+I53+J53</f>
        <v>192384118</v>
      </c>
      <c r="F53" s="80" t="e">
        <f>#REF!+#REF!+#REF!</f>
        <v>#REF!</v>
      </c>
      <c r="G53" s="80" t="e">
        <f>#REF!+#REF!+#REF!</f>
        <v>#REF!</v>
      </c>
      <c r="H53" s="80">
        <f t="shared" si="3"/>
        <v>65306464</v>
      </c>
      <c r="I53" s="80">
        <f t="shared" si="3"/>
        <v>63538827</v>
      </c>
      <c r="J53" s="80">
        <f t="shared" si="3"/>
        <v>63538827</v>
      </c>
      <c r="K53" s="362"/>
      <c r="L53" s="363"/>
      <c r="M53" s="363"/>
      <c r="N53" s="363"/>
      <c r="O53" s="363"/>
      <c r="P53" s="363"/>
      <c r="Q53" s="364"/>
    </row>
    <row r="54" spans="1:17" ht="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</row>
    <row r="55" spans="1:17" ht="15">
      <c r="A55" s="55"/>
      <c r="B55" s="55"/>
      <c r="C55" s="55"/>
      <c r="D55" s="55"/>
      <c r="E55" s="59"/>
      <c r="F55" s="59" t="e">
        <f>+F48-F51-#REF!</f>
        <v>#REF!</v>
      </c>
      <c r="G55" s="59" t="e">
        <f>+G48-G51-#REF!</f>
        <v>#REF!</v>
      </c>
      <c r="H55" s="59"/>
      <c r="I55" s="59"/>
      <c r="J55" s="59"/>
      <c r="K55" s="55"/>
      <c r="L55" s="55"/>
      <c r="M55" s="55"/>
      <c r="N55" s="55"/>
      <c r="O55" s="55"/>
      <c r="P55" s="55"/>
      <c r="Q55" s="55"/>
    </row>
    <row r="56" spans="1:17" ht="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1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1:17" ht="15">
      <c r="A58" s="55"/>
      <c r="B58" s="55"/>
      <c r="C58" s="55"/>
      <c r="D58" s="56"/>
      <c r="E58" s="335"/>
      <c r="F58" s="335"/>
      <c r="G58" s="335"/>
      <c r="H58" s="335"/>
      <c r="I58" s="335"/>
      <c r="J58" s="335"/>
      <c r="K58" s="55"/>
      <c r="L58" s="55"/>
      <c r="M58" s="55"/>
      <c r="N58" s="55"/>
      <c r="O58" s="55"/>
      <c r="P58" s="55"/>
      <c r="Q58" s="55"/>
    </row>
    <row r="59" spans="1:17" ht="15">
      <c r="A59" s="55"/>
      <c r="B59" s="55"/>
      <c r="C59" s="55"/>
      <c r="D59" s="56"/>
      <c r="E59" s="56"/>
      <c r="F59" s="56"/>
      <c r="G59" s="56"/>
      <c r="H59" s="56"/>
      <c r="I59" s="56"/>
      <c r="J59" s="56"/>
      <c r="K59" s="55"/>
      <c r="L59" s="55"/>
      <c r="M59" s="55"/>
      <c r="N59" s="55"/>
      <c r="O59" s="55"/>
      <c r="P59" s="55"/>
      <c r="Q59" s="55"/>
    </row>
    <row r="60" spans="1:17" ht="15">
      <c r="A60" s="55"/>
      <c r="B60" s="55"/>
      <c r="C60" s="55"/>
      <c r="D60" s="57"/>
      <c r="E60" s="230" t="s">
        <v>89</v>
      </c>
      <c r="F60" s="230"/>
      <c r="G60" s="230"/>
      <c r="H60" s="230"/>
      <c r="I60" s="230"/>
      <c r="J60" s="230"/>
      <c r="K60" s="55"/>
      <c r="L60" s="55"/>
      <c r="M60" s="55"/>
      <c r="N60" s="55"/>
      <c r="O60" s="55"/>
      <c r="P60" s="55"/>
      <c r="Q60" s="55"/>
    </row>
    <row r="61" spans="1:17" ht="1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</row>
  </sheetData>
  <sheetProtection/>
  <mergeCells count="105">
    <mergeCell ref="K1:Q1"/>
    <mergeCell ref="K2:Q5"/>
    <mergeCell ref="A6:Q7"/>
    <mergeCell ref="A8:Q8"/>
    <mergeCell ref="A9:A11"/>
    <mergeCell ref="B9:B11"/>
    <mergeCell ref="C9:C11"/>
    <mergeCell ref="D9:D11"/>
    <mergeCell ref="E9:J9"/>
    <mergeCell ref="K9:Q10"/>
    <mergeCell ref="E10:E11"/>
    <mergeCell ref="F10:J10"/>
    <mergeCell ref="A13:Q13"/>
    <mergeCell ref="A14:Q14"/>
    <mergeCell ref="A15:A17"/>
    <mergeCell ref="B15:B17"/>
    <mergeCell ref="C15:C17"/>
    <mergeCell ref="K15:K17"/>
    <mergeCell ref="L15:L17"/>
    <mergeCell ref="O15:O17"/>
    <mergeCell ref="P15:P17"/>
    <mergeCell ref="Q15:Q17"/>
    <mergeCell ref="A18:A19"/>
    <mergeCell ref="B18:B19"/>
    <mergeCell ref="C18:C19"/>
    <mergeCell ref="K18:K19"/>
    <mergeCell ref="L18:L19"/>
    <mergeCell ref="M18:M19"/>
    <mergeCell ref="N18:N19"/>
    <mergeCell ref="O18:O19"/>
    <mergeCell ref="P18:P19"/>
    <mergeCell ref="Q18:Q19"/>
    <mergeCell ref="A20:A21"/>
    <mergeCell ref="B20:B21"/>
    <mergeCell ref="K20:K21"/>
    <mergeCell ref="L20:L21"/>
    <mergeCell ref="M20:M21"/>
    <mergeCell ref="N20:N21"/>
    <mergeCell ref="O20:O21"/>
    <mergeCell ref="P20:P21"/>
    <mergeCell ref="Q20:Q21"/>
    <mergeCell ref="A22:A24"/>
    <mergeCell ref="B22:B24"/>
    <mergeCell ref="C22:C24"/>
    <mergeCell ref="K22:K24"/>
    <mergeCell ref="L22:L24"/>
    <mergeCell ref="O22:O24"/>
    <mergeCell ref="P22:P24"/>
    <mergeCell ref="Q22:Q24"/>
    <mergeCell ref="C20:C21"/>
    <mergeCell ref="P25:P26"/>
    <mergeCell ref="Q25:Q26"/>
    <mergeCell ref="A25:A26"/>
    <mergeCell ref="B25:B26"/>
    <mergeCell ref="C25:C26"/>
    <mergeCell ref="K25:K26"/>
    <mergeCell ref="L25:L26"/>
    <mergeCell ref="O25:O26"/>
    <mergeCell ref="A37:A39"/>
    <mergeCell ref="B37:B40"/>
    <mergeCell ref="C37:C40"/>
    <mergeCell ref="K37:K39"/>
    <mergeCell ref="L37:L39"/>
    <mergeCell ref="O37:O39"/>
    <mergeCell ref="P37:P39"/>
    <mergeCell ref="Q37:Q39"/>
    <mergeCell ref="D39:D40"/>
    <mergeCell ref="E39:E40"/>
    <mergeCell ref="H39:H40"/>
    <mergeCell ref="I39:I40"/>
    <mergeCell ref="J39:J40"/>
    <mergeCell ref="L42:L45"/>
    <mergeCell ref="O42:O45"/>
    <mergeCell ref="P42:P45"/>
    <mergeCell ref="A42:A45"/>
    <mergeCell ref="B42:B45"/>
    <mergeCell ref="C42:C45"/>
    <mergeCell ref="D42:D45"/>
    <mergeCell ref="E42:E45"/>
    <mergeCell ref="H42:H45"/>
    <mergeCell ref="Q42:Q45"/>
    <mergeCell ref="M43:M44"/>
    <mergeCell ref="N43:N44"/>
    <mergeCell ref="A48:A50"/>
    <mergeCell ref="B48:B50"/>
    <mergeCell ref="C48:C50"/>
    <mergeCell ref="K48:Q50"/>
    <mergeCell ref="I42:I45"/>
    <mergeCell ref="J42:J45"/>
    <mergeCell ref="K42:K45"/>
    <mergeCell ref="E58:J58"/>
    <mergeCell ref="E60:J60"/>
    <mergeCell ref="A51:A53"/>
    <mergeCell ref="B51:B53"/>
    <mergeCell ref="C51:C53"/>
    <mergeCell ref="K51:Q53"/>
    <mergeCell ref="A27:A28"/>
    <mergeCell ref="C27:C28"/>
    <mergeCell ref="C33:C34"/>
    <mergeCell ref="B33:B34"/>
    <mergeCell ref="A33:A34"/>
    <mergeCell ref="C29:C31"/>
    <mergeCell ref="B29:B31"/>
    <mergeCell ref="A29:A31"/>
    <mergeCell ref="B27:B28"/>
  </mergeCells>
  <printOptions horizontalCentered="1" verticalCentered="1"/>
  <pageMargins left="0.984251968503937" right="0.5905511811023623" top="0.5905511811023623" bottom="0.7086614173228347" header="0.31496062992125984" footer="0.5118110236220472"/>
  <pageSetup fitToHeight="2" fitToWidth="1" horizontalDpi="600" verticalDpi="600" orientation="landscape" paperSize="9" scale="48" r:id="rId1"/>
  <headerFooter differentFirst="1">
    <oddHeader>&amp;C&amp;"Times New Roman,обычный"&amp;20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2015-12-29T06:53:44Z</cp:lastPrinted>
  <dcterms:created xsi:type="dcterms:W3CDTF">2006-09-16T00:00:00Z</dcterms:created>
  <dcterms:modified xsi:type="dcterms:W3CDTF">2022-08-15T14:15:53Z</dcterms:modified>
  <cp:category/>
  <cp:version/>
  <cp:contentType/>
  <cp:contentStatus/>
</cp:coreProperties>
</file>